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ml.chartshapes+xml"/>
  <Override PartName="/xl/charts/chart4.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theme/themeOverride2.xml" ContentType="application/vnd.openxmlformats-officedocument.themeOverride+xml"/>
  <Override PartName="/xl/charts/chart16.xml" ContentType="application/vnd.openxmlformats-officedocument.drawingml.chart+xml"/>
  <Override PartName="/xl/theme/themeOverride3.xml" ContentType="application/vnd.openxmlformats-officedocument.themeOverride+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17.xml" ContentType="application/vnd.openxmlformats-officedocument.drawingml.chartshapes+xml"/>
  <Override PartName="/xl/charts/chart22.xml" ContentType="application/vnd.openxmlformats-officedocument.drawingml.chart+xml"/>
  <Override PartName="/xl/theme/themeOverride4.xml" ContentType="application/vnd.openxmlformats-officedocument.themeOverride+xml"/>
  <Override PartName="/xl/charts/chart23.xml" ContentType="application/vnd.openxmlformats-officedocument.drawingml.chart+xml"/>
  <Override PartName="/xl/theme/themeOverride5.xml" ContentType="application/vnd.openxmlformats-officedocument.themeOverride+xml"/>
  <Override PartName="/xl/charts/chart24.xml" ContentType="application/vnd.openxmlformats-officedocument.drawingml.chart+xml"/>
  <Override PartName="/xl/drawings/drawing18.xml" ContentType="application/vnd.openxmlformats-officedocument.drawing+xml"/>
  <Override PartName="/xl/comments4.xml" ContentType="application/vnd.openxmlformats-officedocument.spreadsheetml.comments+xml"/>
  <Override PartName="/xl/charts/chart25.xml" ContentType="application/vnd.openxmlformats-officedocument.drawingml.chart+xml"/>
  <Override PartName="/xl/theme/themeOverride6.xml" ContentType="application/vnd.openxmlformats-officedocument.themeOverride+xml"/>
  <Override PartName="/xl/charts/chart26.xml" ContentType="application/vnd.openxmlformats-officedocument.drawingml.chart+xml"/>
  <Override PartName="/xl/theme/themeOverride7.xml" ContentType="application/vnd.openxmlformats-officedocument.themeOverride+xml"/>
  <Override PartName="/xl/drawings/drawing1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theme/themeOverride8.xml" ContentType="application/vnd.openxmlformats-officedocument.themeOverride+xml"/>
  <Override PartName="/xl/drawings/drawing21.xml" ContentType="application/vnd.openxmlformats-officedocument.drawingml.chartshapes+xml"/>
  <Override PartName="/xl/charts/chart3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2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showInkAnnotation="0" defaultThemeVersion="124226"/>
  <mc:AlternateContent xmlns:mc="http://schemas.openxmlformats.org/markup-compatibility/2006">
    <mc:Choice Requires="x15">
      <x15ac:absPath xmlns:x15ac="http://schemas.microsoft.com/office/spreadsheetml/2010/11/ac" url="Y:\GRI\Data\Alpha\02_Economie\2_11_TDBA2E\Etat 2018\"/>
    </mc:Choice>
  </mc:AlternateContent>
  <xr:revisionPtr revIDLastSave="0" documentId="13_ncr:1_{B40C88AA-CEA7-4BA8-AA49-97B97E46D599}" xr6:coauthVersionLast="32" xr6:coauthVersionMax="32" xr10:uidLastSave="{00000000-0000-0000-0000-000000000000}"/>
  <workbookProtection workbookAlgorithmName="SHA-512" workbookHashValue="2vERo1R1nOX+7lAE651Dwj5JwHOGxRz1cIysUtVZ9mVBy/rSp4wgg3i9SpKogElcxspaPgMdSR4EgjrMYXuMLw==" workbookSaltValue="wbKVUqdPqA5EvRXF5U/3GQ==" workbookSpinCount="100000" lockStructure="1"/>
  <bookViews>
    <workbookView xWindow="11700" yWindow="1335" windowWidth="12945" windowHeight="8595" tabRatio="732" firstSheet="19" activeTab="19" xr2:uid="{00000000-000D-0000-FFFF-FFFF00000000}"/>
  </bookViews>
  <sheets>
    <sheet name="Emploi-old" sheetId="15" state="hidden" r:id="rId1"/>
    <sheet name="Glossaire_old" sheetId="25" state="hidden" r:id="rId2"/>
    <sheet name="D_Ch-1" sheetId="2" state="hidden" r:id="rId3"/>
    <sheet name="D_Ch-2-1" sheetId="3" state="hidden" r:id="rId4"/>
    <sheet name="D_Ch2-2" sheetId="4" state="hidden" r:id="rId5"/>
    <sheet name="G_Ch2-2" sheetId="26" state="hidden" r:id="rId6"/>
    <sheet name="D_Ch2-2_det-BMO" sheetId="5" state="hidden" r:id="rId7"/>
    <sheet name="D_Ch-3" sheetId="6" state="hidden" r:id="rId8"/>
    <sheet name="D_Ch4-1" sheetId="9" state="hidden" r:id="rId9"/>
    <sheet name="D_Ch4-2" sheetId="10" state="hidden" r:id="rId10"/>
    <sheet name="D_Ch4-3" sheetId="11" state="hidden" r:id="rId11"/>
    <sheet name="D_Ch-5-1" sheetId="12" state="hidden" r:id="rId12"/>
    <sheet name="D_Ch5-2" sheetId="14" state="hidden" r:id="rId13"/>
    <sheet name="D_ch5-3" sheetId="30" state="hidden" r:id="rId14"/>
    <sheet name="D_Ch6-1" sheetId="17" state="hidden" r:id="rId15"/>
    <sheet name="D_Ch6-2" sheetId="18" state="hidden" r:id="rId16"/>
    <sheet name="D_Ch6-3" sheetId="19" state="hidden" r:id="rId17"/>
    <sheet name="D_Ch7-1" sheetId="21" state="hidden" r:id="rId18"/>
    <sheet name="D_Annexe" sheetId="13" state="hidden" r:id="rId19"/>
    <sheet name="Page de Garde" sheetId="31" r:id="rId20"/>
    <sheet name="Sommaire" sheetId="27" r:id="rId21"/>
    <sheet name="Dynamique de l'emploi" sheetId="29" r:id="rId22"/>
    <sheet name="Marché du travail" sheetId="7" r:id="rId23"/>
    <sheet name="Population active" sheetId="1" r:id="rId24"/>
    <sheet name="Entreprises" sheetId="8" r:id="rId25"/>
    <sheet name="Richesse et échanges" sheetId="16" r:id="rId26"/>
    <sheet name="E.S.R.I." sheetId="20" r:id="rId27"/>
    <sheet name="Tourisme" sheetId="22" r:id="rId28"/>
    <sheet name="Annexe" sheetId="24" r:id="rId29"/>
    <sheet name="Glossaire" sheetId="28" r:id="rId30"/>
  </sheets>
  <definedNames>
    <definedName name="_xlnm._FilterDatabase" localSheetId="4" hidden="1">'D_Ch2-2'!$A$60:$J$75</definedName>
    <definedName name="_xlnm._FilterDatabase" localSheetId="6" hidden="1">'D_Ch2-2_det-BMO'!$B$1:$M$151</definedName>
    <definedName name="_xlnm.Print_Area" localSheetId="28">Annexe!$A$1:$T$103</definedName>
    <definedName name="_xlnm.Print_Area" localSheetId="21">'Dynamique de l''emploi'!$A$1:$T$157</definedName>
    <definedName name="_xlnm.Print_Area" localSheetId="0">'Emploi-old'!$A$1:$T$104</definedName>
    <definedName name="_xlnm.Print_Area" localSheetId="29">Glossaire!$1:$359</definedName>
    <definedName name="_xlnm.Print_Area" localSheetId="1">Glossaire_old!$A$1:$G$342</definedName>
    <definedName name="_xlnm.Print_Area" localSheetId="22">'Marché du travail'!$A$1:$U$221</definedName>
    <definedName name="_xlnm.Print_Area" localSheetId="19">'Page de Garde'!$A$1:$H$56</definedName>
  </definedNames>
  <calcPr calcId="179017"/>
</workbook>
</file>

<file path=xl/calcChain.xml><?xml version="1.0" encoding="utf-8"?>
<calcChain xmlns="http://schemas.openxmlformats.org/spreadsheetml/2006/main">
  <c r="E193" i="7" l="1"/>
  <c r="E192" i="7"/>
  <c r="E191" i="7"/>
  <c r="E190" i="7"/>
  <c r="E189" i="7"/>
  <c r="E188" i="7"/>
  <c r="E187" i="7"/>
  <c r="E186" i="7"/>
  <c r="E185" i="7"/>
  <c r="E184" i="7"/>
  <c r="E183" i="7"/>
  <c r="E182" i="7"/>
  <c r="E181" i="7"/>
  <c r="E180" i="7"/>
  <c r="E194" i="7"/>
  <c r="E179" i="7"/>
  <c r="F15" i="10" l="1"/>
  <c r="G36" i="10"/>
  <c r="C10" i="10"/>
  <c r="C11" i="10"/>
  <c r="G40" i="10"/>
  <c r="C14" i="10"/>
  <c r="C15" i="10"/>
  <c r="C16" i="10"/>
  <c r="G35" i="10"/>
  <c r="F35" i="10"/>
  <c r="C8" i="10"/>
  <c r="C9" i="10"/>
  <c r="C13" i="10"/>
  <c r="C7" i="10"/>
  <c r="G44" i="10" l="1"/>
  <c r="G43" i="10"/>
  <c r="G41" i="10"/>
  <c r="G39" i="10"/>
  <c r="G37" i="10"/>
  <c r="C12" i="10"/>
  <c r="G42" i="10"/>
  <c r="G38" i="10"/>
  <c r="L2" i="5"/>
  <c r="C18" i="9" l="1"/>
  <c r="B33" i="9"/>
  <c r="B12" i="9" s="1"/>
  <c r="L10" i="18" l="1"/>
  <c r="D88" i="10"/>
  <c r="I61" i="4"/>
  <c r="E6" i="3"/>
  <c r="L6" i="3"/>
  <c r="F167" i="9" l="1"/>
  <c r="G167" i="9"/>
  <c r="H167" i="9"/>
  <c r="I167" i="9"/>
  <c r="J167" i="9"/>
  <c r="K167" i="9"/>
  <c r="L167" i="9"/>
  <c r="M167" i="9"/>
  <c r="E167" i="9"/>
  <c r="F166" i="9"/>
  <c r="G166" i="9"/>
  <c r="H166" i="9"/>
  <c r="I166" i="9"/>
  <c r="J166" i="9"/>
  <c r="K166" i="9"/>
  <c r="L166" i="9"/>
  <c r="M166" i="9"/>
  <c r="E166" i="9"/>
  <c r="E165" i="9"/>
  <c r="F165" i="9"/>
  <c r="G165" i="9"/>
  <c r="H165" i="9"/>
  <c r="I165" i="9"/>
  <c r="J165" i="9"/>
  <c r="K165" i="9"/>
  <c r="L165" i="9"/>
  <c r="M165" i="9"/>
  <c r="F164" i="9"/>
  <c r="G164" i="9"/>
  <c r="H164" i="9"/>
  <c r="I164" i="9"/>
  <c r="J164" i="9"/>
  <c r="K164" i="9"/>
  <c r="L164" i="9"/>
  <c r="M164" i="9"/>
  <c r="E164" i="9"/>
  <c r="F163" i="9"/>
  <c r="G163" i="9"/>
  <c r="H163" i="9"/>
  <c r="I163" i="9"/>
  <c r="J163" i="9"/>
  <c r="K163" i="9"/>
  <c r="L163" i="9"/>
  <c r="M163" i="9"/>
  <c r="E163" i="9"/>
  <c r="E162" i="9"/>
  <c r="F162" i="9"/>
  <c r="G162" i="9"/>
  <c r="H162" i="9"/>
  <c r="I162" i="9"/>
  <c r="J162" i="9"/>
  <c r="K162" i="9"/>
  <c r="L162" i="9"/>
  <c r="M162" i="9"/>
  <c r="F161" i="9"/>
  <c r="G161" i="9"/>
  <c r="H161" i="9"/>
  <c r="I161" i="9"/>
  <c r="J161" i="9"/>
  <c r="K161" i="9"/>
  <c r="L161" i="9"/>
  <c r="M161" i="9"/>
  <c r="E161" i="9"/>
  <c r="C115" i="9"/>
  <c r="C114" i="9"/>
  <c r="C119" i="9"/>
  <c r="C125" i="9"/>
  <c r="C120" i="9"/>
  <c r="C122" i="9"/>
  <c r="C116" i="9"/>
  <c r="C123" i="9"/>
  <c r="C127" i="9"/>
  <c r="C118" i="9"/>
  <c r="C113" i="9"/>
  <c r="C121" i="9"/>
  <c r="C126" i="9"/>
  <c r="C124" i="9"/>
  <c r="C117" i="9"/>
  <c r="F11" i="18" l="1"/>
  <c r="F12" i="18"/>
  <c r="F13" i="18"/>
  <c r="F14" i="18"/>
  <c r="F15" i="18"/>
  <c r="F16" i="18"/>
  <c r="F17" i="18"/>
  <c r="F18" i="18"/>
  <c r="F19" i="18"/>
  <c r="F20" i="18"/>
  <c r="F21" i="18"/>
  <c r="F22" i="18"/>
  <c r="F23" i="18"/>
  <c r="F10" i="18"/>
  <c r="I10" i="18"/>
  <c r="G10" i="18"/>
  <c r="W31" i="4"/>
  <c r="W32" i="4"/>
  <c r="W33" i="4"/>
  <c r="W34" i="4"/>
  <c r="W30" i="4"/>
  <c r="Q31" i="4"/>
  <c r="Q32" i="4"/>
  <c r="Q33" i="4"/>
  <c r="Q34" i="4"/>
  <c r="Q30" i="4"/>
  <c r="L129" i="7"/>
  <c r="L128" i="7"/>
  <c r="L127" i="7"/>
  <c r="L126" i="7"/>
  <c r="L125" i="7"/>
  <c r="L124" i="7"/>
  <c r="L123" i="7"/>
  <c r="L122" i="7"/>
  <c r="D129" i="7"/>
  <c r="D128" i="7"/>
  <c r="D127" i="7"/>
  <c r="D126" i="7"/>
  <c r="D125" i="7"/>
  <c r="D124" i="7"/>
  <c r="D123" i="7"/>
  <c r="D122" i="7"/>
  <c r="B127" i="4"/>
  <c r="C127" i="4"/>
  <c r="D127" i="4"/>
  <c r="E127" i="4"/>
  <c r="F127" i="4"/>
  <c r="G127" i="4"/>
  <c r="H127" i="4"/>
  <c r="I127" i="4"/>
  <c r="J127" i="4"/>
  <c r="K127" i="4"/>
  <c r="L127" i="4"/>
  <c r="M155" i="4"/>
  <c r="M127" i="4" s="1"/>
  <c r="I107" i="4"/>
  <c r="R107" i="4" s="1"/>
  <c r="J146" i="29" l="1"/>
  <c r="I146" i="29"/>
  <c r="H146" i="29"/>
  <c r="G146" i="29"/>
  <c r="F146" i="29"/>
  <c r="E146" i="29"/>
  <c r="D146" i="29"/>
  <c r="C146" i="29"/>
  <c r="B146" i="29"/>
  <c r="M146" i="29"/>
  <c r="L146" i="29"/>
  <c r="K146" i="29"/>
  <c r="M145" i="29"/>
  <c r="L145" i="29"/>
  <c r="K145" i="29"/>
  <c r="J145" i="29"/>
  <c r="I145" i="29"/>
  <c r="H145" i="29"/>
  <c r="G145" i="29"/>
  <c r="F145" i="29"/>
  <c r="E145" i="29"/>
  <c r="D145" i="29"/>
  <c r="C145" i="29"/>
  <c r="B145" i="29"/>
  <c r="A145" i="29"/>
  <c r="C296" i="12"/>
  <c r="A146" i="29"/>
  <c r="G198" i="11" l="1"/>
  <c r="G178" i="11"/>
  <c r="G171" i="11"/>
  <c r="G162" i="11"/>
  <c r="G163" i="11"/>
  <c r="N163" i="11"/>
  <c r="G165" i="11" s="1"/>
  <c r="N164" i="11"/>
  <c r="G169" i="11" s="1"/>
  <c r="N165" i="11"/>
  <c r="G170" i="11" s="1"/>
  <c r="N166" i="11"/>
  <c r="G175" i="11" s="1"/>
  <c r="N167" i="11"/>
  <c r="G177" i="11" s="1"/>
  <c r="N168" i="11"/>
  <c r="G179" i="11" s="1"/>
  <c r="N169" i="11"/>
  <c r="G183" i="11" s="1"/>
  <c r="N170" i="11"/>
  <c r="G187" i="11" s="1"/>
  <c r="N171" i="11"/>
  <c r="G189" i="11" s="1"/>
  <c r="N172" i="11"/>
  <c r="G193" i="11" s="1"/>
  <c r="N173" i="11"/>
  <c r="G195" i="11" s="1"/>
  <c r="N174" i="11"/>
  <c r="G199" i="11" s="1"/>
  <c r="N175" i="11"/>
  <c r="G201" i="11" s="1"/>
  <c r="N176" i="11"/>
  <c r="G205" i="11" s="1"/>
  <c r="N162" i="11"/>
  <c r="G161" i="11" s="1"/>
  <c r="G202" i="11" l="1"/>
  <c r="G180" i="11"/>
  <c r="G166" i="11"/>
  <c r="G184" i="11"/>
  <c r="G181" i="11"/>
  <c r="G172" i="11"/>
  <c r="G190" i="11"/>
  <c r="G168" i="11"/>
  <c r="G174" i="11"/>
  <c r="G186" i="11"/>
  <c r="G192" i="11"/>
  <c r="G204" i="11"/>
  <c r="G164" i="11"/>
  <c r="G176" i="11"/>
  <c r="G182" i="11"/>
  <c r="G188" i="11"/>
  <c r="G194" i="11"/>
  <c r="G200" i="11"/>
  <c r="G196" i="11"/>
  <c r="G167" i="11"/>
  <c r="G173" i="11"/>
  <c r="G185" i="11"/>
  <c r="G191" i="11"/>
  <c r="G197" i="11"/>
  <c r="G203" i="11"/>
  <c r="I50" i="11"/>
  <c r="I5" i="11"/>
  <c r="AD19" i="11"/>
  <c r="AD18" i="11"/>
  <c r="AD17" i="11"/>
  <c r="AD16" i="11"/>
  <c r="AD15" i="11"/>
  <c r="AD14" i="11"/>
  <c r="AD13" i="11"/>
  <c r="AD12" i="11"/>
  <c r="AD11" i="11"/>
  <c r="AD10" i="11"/>
  <c r="AD9" i="11"/>
  <c r="AD8" i="11"/>
  <c r="AD7" i="11"/>
  <c r="AD6" i="11"/>
  <c r="AD5" i="11"/>
  <c r="AC5" i="11"/>
  <c r="AC19" i="11"/>
  <c r="AC18" i="11"/>
  <c r="AC17" i="11"/>
  <c r="AC16" i="11"/>
  <c r="AC15" i="11"/>
  <c r="AC14" i="11"/>
  <c r="AC13" i="11"/>
  <c r="AC12" i="11"/>
  <c r="AC11" i="11"/>
  <c r="AC10" i="11"/>
  <c r="AC9" i="11"/>
  <c r="AC8" i="11"/>
  <c r="AC7" i="11"/>
  <c r="AC6" i="11"/>
  <c r="N5" i="11"/>
  <c r="P5" i="11" s="1"/>
  <c r="Q5" i="11" s="1"/>
  <c r="G68" i="17" l="1"/>
  <c r="G69" i="17"/>
  <c r="G70" i="17"/>
  <c r="G71" i="17"/>
  <c r="G72" i="17"/>
  <c r="G73" i="17"/>
  <c r="G74" i="17"/>
  <c r="G75" i="17"/>
  <c r="G76" i="17"/>
  <c r="G67" i="17"/>
  <c r="H68" i="17"/>
  <c r="H69" i="17"/>
  <c r="H70" i="17"/>
  <c r="H71" i="17"/>
  <c r="H72" i="17"/>
  <c r="H73" i="17"/>
  <c r="H74" i="17"/>
  <c r="H75" i="17"/>
  <c r="H76" i="17"/>
  <c r="H67" i="17"/>
  <c r="I43" i="17"/>
  <c r="D46" i="17"/>
  <c r="D45" i="17"/>
  <c r="D44" i="17"/>
  <c r="D43" i="17"/>
  <c r="D42" i="17"/>
  <c r="D41" i="17"/>
  <c r="D40" i="17"/>
  <c r="D39" i="17"/>
  <c r="D38" i="17"/>
  <c r="D37" i="17"/>
  <c r="D36" i="17"/>
  <c r="D35" i="17"/>
  <c r="D34" i="17"/>
  <c r="A107" i="4" l="1"/>
  <c r="A103" i="4"/>
  <c r="F103" i="4" s="1"/>
  <c r="A101" i="4"/>
  <c r="F101" i="4" s="1"/>
  <c r="A102" i="4"/>
  <c r="F102" i="4" s="1"/>
  <c r="A110" i="4"/>
  <c r="F110" i="4" s="1"/>
  <c r="A105" i="4"/>
  <c r="F105" i="4" s="1"/>
  <c r="A108" i="4"/>
  <c r="F108" i="4" s="1"/>
  <c r="A109" i="4"/>
  <c r="F109" i="4" s="1"/>
  <c r="A104" i="4"/>
  <c r="F104" i="4" s="1"/>
  <c r="A106" i="4"/>
  <c r="F106" i="4" s="1"/>
  <c r="A113" i="4"/>
  <c r="F113" i="4" s="1"/>
  <c r="A111" i="4"/>
  <c r="F111" i="4" s="1"/>
  <c r="A112" i="4"/>
  <c r="F112" i="4" s="1"/>
  <c r="A115" i="4"/>
  <c r="F115" i="4" s="1"/>
  <c r="A114" i="4"/>
  <c r="F114" i="4" s="1"/>
  <c r="A100" i="4"/>
  <c r="F100" i="4" s="1"/>
  <c r="N57" i="4"/>
  <c r="M120" i="4" l="1"/>
  <c r="K120" i="4"/>
  <c r="G120" i="4"/>
  <c r="C120" i="4"/>
  <c r="L120" i="4"/>
  <c r="J120" i="4"/>
  <c r="H120" i="4"/>
  <c r="F120" i="4"/>
  <c r="D120" i="4"/>
  <c r="B120" i="4"/>
  <c r="I120" i="4"/>
  <c r="E120" i="4"/>
  <c r="I115" i="4"/>
  <c r="R115" i="4" s="1"/>
  <c r="M135" i="4"/>
  <c r="C135" i="4"/>
  <c r="E135" i="4"/>
  <c r="G135" i="4"/>
  <c r="I135" i="4"/>
  <c r="K135" i="4"/>
  <c r="D135" i="4"/>
  <c r="H135" i="4"/>
  <c r="B135" i="4"/>
  <c r="F135" i="4"/>
  <c r="J135" i="4"/>
  <c r="L135" i="4"/>
  <c r="I111" i="4"/>
  <c r="R111" i="4" s="1"/>
  <c r="M131" i="4"/>
  <c r="B131" i="4"/>
  <c r="D131" i="4"/>
  <c r="F131" i="4"/>
  <c r="H131" i="4"/>
  <c r="J131" i="4"/>
  <c r="L131" i="4"/>
  <c r="C131" i="4"/>
  <c r="E131" i="4"/>
  <c r="G131" i="4"/>
  <c r="I131" i="4"/>
  <c r="K131" i="4"/>
  <c r="I106" i="4"/>
  <c r="R106" i="4" s="1"/>
  <c r="C126" i="4"/>
  <c r="E126" i="4"/>
  <c r="G126" i="4"/>
  <c r="I126" i="4"/>
  <c r="K126" i="4"/>
  <c r="M126" i="4"/>
  <c r="B126" i="4"/>
  <c r="D126" i="4"/>
  <c r="F126" i="4"/>
  <c r="H126" i="4"/>
  <c r="J126" i="4"/>
  <c r="L126" i="4"/>
  <c r="I109" i="4"/>
  <c r="R109" i="4" s="1"/>
  <c r="C129" i="4"/>
  <c r="E129" i="4"/>
  <c r="G129" i="4"/>
  <c r="I129" i="4"/>
  <c r="K129" i="4"/>
  <c r="M129" i="4"/>
  <c r="B129" i="4"/>
  <c r="D129" i="4"/>
  <c r="F129" i="4"/>
  <c r="H129" i="4"/>
  <c r="J129" i="4"/>
  <c r="L129" i="4"/>
  <c r="I105" i="4"/>
  <c r="R105" i="4" s="1"/>
  <c r="M125" i="4"/>
  <c r="B125" i="4"/>
  <c r="D125" i="4"/>
  <c r="F125" i="4"/>
  <c r="H125" i="4"/>
  <c r="J125" i="4"/>
  <c r="L125" i="4"/>
  <c r="C125" i="4"/>
  <c r="E125" i="4"/>
  <c r="G125" i="4"/>
  <c r="I125" i="4"/>
  <c r="K125" i="4"/>
  <c r="I102" i="4"/>
  <c r="R102" i="4" s="1"/>
  <c r="C122" i="4"/>
  <c r="E122" i="4"/>
  <c r="G122" i="4"/>
  <c r="I122" i="4"/>
  <c r="K122" i="4"/>
  <c r="M122" i="4"/>
  <c r="B122" i="4"/>
  <c r="D122" i="4"/>
  <c r="F122" i="4"/>
  <c r="H122" i="4"/>
  <c r="J122" i="4"/>
  <c r="L122" i="4"/>
  <c r="I103" i="4"/>
  <c r="R103" i="4" s="1"/>
  <c r="M123" i="4"/>
  <c r="B123" i="4"/>
  <c r="D123" i="4"/>
  <c r="F123" i="4"/>
  <c r="H123" i="4"/>
  <c r="J123" i="4"/>
  <c r="L123" i="4"/>
  <c r="C123" i="4"/>
  <c r="E123" i="4"/>
  <c r="G123" i="4"/>
  <c r="I123" i="4"/>
  <c r="K123" i="4"/>
  <c r="I114" i="4"/>
  <c r="R114" i="4" s="1"/>
  <c r="C134" i="4"/>
  <c r="E134" i="4"/>
  <c r="M134" i="4"/>
  <c r="B134" i="4"/>
  <c r="D134" i="4"/>
  <c r="F134" i="4"/>
  <c r="H134" i="4"/>
  <c r="J134" i="4"/>
  <c r="L134" i="4"/>
  <c r="G134" i="4"/>
  <c r="K134" i="4"/>
  <c r="I134" i="4"/>
  <c r="I112" i="4"/>
  <c r="R112" i="4" s="1"/>
  <c r="C132" i="4"/>
  <c r="E132" i="4"/>
  <c r="G132" i="4"/>
  <c r="I132" i="4"/>
  <c r="K132" i="4"/>
  <c r="M132" i="4"/>
  <c r="B132" i="4"/>
  <c r="D132" i="4"/>
  <c r="F132" i="4"/>
  <c r="H132" i="4"/>
  <c r="J132" i="4"/>
  <c r="L132" i="4"/>
  <c r="I113" i="4"/>
  <c r="R113" i="4" s="1"/>
  <c r="M133" i="4"/>
  <c r="B133" i="4"/>
  <c r="D133" i="4"/>
  <c r="F133" i="4"/>
  <c r="H133" i="4"/>
  <c r="J133" i="4"/>
  <c r="L133" i="4"/>
  <c r="C133" i="4"/>
  <c r="E133" i="4"/>
  <c r="G133" i="4"/>
  <c r="I133" i="4"/>
  <c r="K133" i="4"/>
  <c r="I104" i="4"/>
  <c r="R104" i="4" s="1"/>
  <c r="C124" i="4"/>
  <c r="E124" i="4"/>
  <c r="G124" i="4"/>
  <c r="I124" i="4"/>
  <c r="K124" i="4"/>
  <c r="M124" i="4"/>
  <c r="B124" i="4"/>
  <c r="D124" i="4"/>
  <c r="F124" i="4"/>
  <c r="H124" i="4"/>
  <c r="J124" i="4"/>
  <c r="L124" i="4"/>
  <c r="I108" i="4"/>
  <c r="R108" i="4" s="1"/>
  <c r="C128" i="4"/>
  <c r="E128" i="4"/>
  <c r="G128" i="4"/>
  <c r="I128" i="4"/>
  <c r="K128" i="4"/>
  <c r="M128" i="4"/>
  <c r="B128" i="4"/>
  <c r="D128" i="4"/>
  <c r="F128" i="4"/>
  <c r="H128" i="4"/>
  <c r="J128" i="4"/>
  <c r="L128" i="4"/>
  <c r="I110" i="4"/>
  <c r="R110" i="4" s="1"/>
  <c r="M130" i="4"/>
  <c r="B130" i="4"/>
  <c r="D130" i="4"/>
  <c r="F130" i="4"/>
  <c r="H130" i="4"/>
  <c r="J130" i="4"/>
  <c r="L130" i="4"/>
  <c r="C130" i="4"/>
  <c r="E130" i="4"/>
  <c r="G130" i="4"/>
  <c r="I130" i="4"/>
  <c r="K130" i="4"/>
  <c r="I101" i="4"/>
  <c r="R101" i="4" s="1"/>
  <c r="M121" i="4"/>
  <c r="B121" i="4"/>
  <c r="D121" i="4"/>
  <c r="F121" i="4"/>
  <c r="H121" i="4"/>
  <c r="J121" i="4"/>
  <c r="L121" i="4"/>
  <c r="C121" i="4"/>
  <c r="E121" i="4"/>
  <c r="G121" i="4"/>
  <c r="I121" i="4"/>
  <c r="K121" i="4"/>
  <c r="I100" i="4"/>
  <c r="R100" i="4" s="1"/>
  <c r="G100" i="4"/>
  <c r="H100" i="4" s="1"/>
  <c r="Q100" i="4" s="1"/>
  <c r="H122" i="7" s="1"/>
  <c r="B57" i="4"/>
  <c r="K44" i="4"/>
  <c r="K45" i="4"/>
  <c r="K46" i="4"/>
  <c r="K47" i="4"/>
  <c r="K48" i="4"/>
  <c r="K49" i="4"/>
  <c r="K50" i="4"/>
  <c r="K51" i="4"/>
  <c r="K52" i="4"/>
  <c r="K53" i="4"/>
  <c r="K54" i="4"/>
  <c r="K55" i="4"/>
  <c r="K43" i="4"/>
  <c r="E44" i="4"/>
  <c r="E45" i="4"/>
  <c r="E46" i="4"/>
  <c r="E47" i="4"/>
  <c r="E48" i="4"/>
  <c r="E49" i="4"/>
  <c r="E50" i="4"/>
  <c r="E51" i="4"/>
  <c r="E52" i="4"/>
  <c r="E53" i="4"/>
  <c r="E54" i="4"/>
  <c r="E43" i="4"/>
  <c r="G16" i="17" l="1"/>
  <c r="L76" i="6" l="1"/>
  <c r="L77" i="6"/>
  <c r="F80" i="20" l="1"/>
  <c r="E80" i="20"/>
  <c r="D80" i="20"/>
  <c r="C80" i="20"/>
  <c r="B80" i="20"/>
  <c r="F79" i="20"/>
  <c r="E79" i="20"/>
  <c r="D79" i="20"/>
  <c r="C79" i="20"/>
  <c r="B79" i="20"/>
  <c r="F78" i="20"/>
  <c r="E78" i="20"/>
  <c r="D78" i="20"/>
  <c r="C78" i="20"/>
  <c r="B78" i="20"/>
  <c r="F77" i="20"/>
  <c r="E77" i="20"/>
  <c r="D77" i="20"/>
  <c r="C77" i="20"/>
  <c r="B77" i="20"/>
  <c r="F76" i="20"/>
  <c r="E76" i="20"/>
  <c r="D76" i="20"/>
  <c r="C76" i="20"/>
  <c r="B76" i="20"/>
  <c r="F75" i="20"/>
  <c r="E75" i="20"/>
  <c r="D75" i="20"/>
  <c r="C75" i="20"/>
  <c r="B75" i="20"/>
  <c r="F74" i="20"/>
  <c r="E74" i="20"/>
  <c r="D74" i="20"/>
  <c r="C74" i="20"/>
  <c r="B74" i="20"/>
  <c r="F73" i="20"/>
  <c r="E73" i="20"/>
  <c r="D73" i="20"/>
  <c r="C73" i="20"/>
  <c r="B73" i="20"/>
  <c r="A80" i="20"/>
  <c r="A79" i="20"/>
  <c r="A78" i="20"/>
  <c r="A77" i="20"/>
  <c r="A76" i="20"/>
  <c r="A75" i="20"/>
  <c r="A74" i="20"/>
  <c r="A73" i="20"/>
  <c r="G37" i="29" l="1"/>
  <c r="G111" i="4" l="1"/>
  <c r="H111" i="4" s="1"/>
  <c r="Q111" i="4" s="1"/>
  <c r="G112" i="4"/>
  <c r="H112" i="4" s="1"/>
  <c r="Q112" i="4" s="1"/>
  <c r="G104" i="4"/>
  <c r="H104" i="4" s="1"/>
  <c r="Q104" i="4" s="1"/>
  <c r="G105" i="4"/>
  <c r="G102" i="4"/>
  <c r="G101" i="4"/>
  <c r="G107" i="4"/>
  <c r="H107" i="4" s="1"/>
  <c r="Q107" i="4" s="1"/>
  <c r="H101" i="4" l="1"/>
  <c r="Q101" i="4" s="1"/>
  <c r="H102" i="4"/>
  <c r="Q102" i="4" s="1"/>
  <c r="H105" i="4"/>
  <c r="Q105" i="4" s="1"/>
  <c r="G110" i="4"/>
  <c r="G108" i="4"/>
  <c r="G103" i="4"/>
  <c r="G109" i="4"/>
  <c r="G106" i="4"/>
  <c r="G115" i="4"/>
  <c r="G113" i="4"/>
  <c r="G114" i="4"/>
  <c r="H114" i="4" l="1"/>
  <c r="Q114" i="4" s="1"/>
  <c r="H106" i="4"/>
  <c r="Q106" i="4" s="1"/>
  <c r="H110" i="4"/>
  <c r="Q110" i="4" s="1"/>
  <c r="H113" i="4"/>
  <c r="Q113" i="4" s="1"/>
  <c r="H115" i="4"/>
  <c r="Q115" i="4" s="1"/>
  <c r="H109" i="4"/>
  <c r="Q109" i="4" s="1"/>
  <c r="H103" i="4"/>
  <c r="Q103" i="4" s="1"/>
  <c r="H108" i="4"/>
  <c r="Q108" i="4" s="1"/>
  <c r="L35" i="18"/>
  <c r="L34" i="18"/>
  <c r="L33" i="18"/>
  <c r="L32" i="18"/>
  <c r="L30" i="18"/>
  <c r="L29" i="18"/>
  <c r="L28" i="18"/>
  <c r="L27" i="18"/>
  <c r="AG6" i="3" l="1"/>
  <c r="G6" i="26" l="1"/>
  <c r="J6" i="26"/>
  <c r="S6" i="26"/>
  <c r="P6" i="26"/>
  <c r="AJ13" i="26" l="1"/>
  <c r="AI13" i="26"/>
  <c r="AJ10" i="26"/>
  <c r="AI10" i="26"/>
  <c r="AJ12" i="26"/>
  <c r="AI12" i="26"/>
  <c r="AI9" i="26"/>
  <c r="AJ9" i="26"/>
  <c r="AE9" i="26"/>
  <c r="Y9" i="26"/>
  <c r="S9" i="26"/>
  <c r="M9" i="26"/>
  <c r="G9" i="26"/>
  <c r="R9" i="26"/>
  <c r="F9" i="26"/>
  <c r="AC9" i="26"/>
  <c r="W9" i="26"/>
  <c r="Q9" i="26"/>
  <c r="K9" i="26"/>
  <c r="E9" i="26"/>
  <c r="AG9" i="26"/>
  <c r="AD9" i="26"/>
  <c r="X9" i="26"/>
  <c r="L9" i="26"/>
  <c r="AF9" i="26"/>
  <c r="T9" i="26"/>
  <c r="H9" i="26"/>
  <c r="AH9" i="26"/>
  <c r="AB9" i="26"/>
  <c r="V9" i="26"/>
  <c r="P9" i="26"/>
  <c r="J9" i="26"/>
  <c r="D9" i="26"/>
  <c r="AA9" i="26"/>
  <c r="U9" i="26"/>
  <c r="O9" i="26"/>
  <c r="I9" i="26"/>
  <c r="C9" i="26"/>
  <c r="Z9" i="26"/>
  <c r="N9" i="26"/>
  <c r="B9" i="26"/>
  <c r="AG10" i="26"/>
  <c r="AD10" i="26"/>
  <c r="X10" i="26"/>
  <c r="R10" i="26"/>
  <c r="L10" i="26"/>
  <c r="F10" i="26"/>
  <c r="AH10" i="26"/>
  <c r="AB10" i="26"/>
  <c r="V10" i="26"/>
  <c r="P10" i="26"/>
  <c r="J10" i="26"/>
  <c r="D10" i="26"/>
  <c r="AC10" i="26"/>
  <c r="W10" i="26"/>
  <c r="Q10" i="26"/>
  <c r="K10" i="26"/>
  <c r="E10" i="26"/>
  <c r="Y10" i="26"/>
  <c r="AA10" i="26"/>
  <c r="U10" i="26"/>
  <c r="O10" i="26"/>
  <c r="I10" i="26"/>
  <c r="C10" i="26"/>
  <c r="AF10" i="26"/>
  <c r="Z10" i="26"/>
  <c r="T10" i="26"/>
  <c r="N10" i="26"/>
  <c r="H10" i="26"/>
  <c r="B10" i="26"/>
  <c r="AE10" i="26"/>
  <c r="S10" i="26"/>
  <c r="M10" i="26"/>
  <c r="G10" i="26"/>
  <c r="AH13" i="26"/>
  <c r="AB13" i="26"/>
  <c r="V13" i="26"/>
  <c r="P13" i="26"/>
  <c r="J13" i="26"/>
  <c r="D13" i="26"/>
  <c r="AF13" i="26"/>
  <c r="Z13" i="26"/>
  <c r="T13" i="26"/>
  <c r="N13" i="26"/>
  <c r="H13" i="26"/>
  <c r="B13" i="26"/>
  <c r="AA13" i="26"/>
  <c r="U13" i="26"/>
  <c r="O13" i="26"/>
  <c r="I13" i="26"/>
  <c r="C13" i="26"/>
  <c r="E13" i="26"/>
  <c r="AE13" i="26"/>
  <c r="Y13" i="26"/>
  <c r="S13" i="26"/>
  <c r="M13" i="26"/>
  <c r="G13" i="26"/>
  <c r="AG13" i="26"/>
  <c r="AD13" i="26"/>
  <c r="X13" i="26"/>
  <c r="R13" i="26"/>
  <c r="L13" i="26"/>
  <c r="F13" i="26"/>
  <c r="AC13" i="26"/>
  <c r="W13" i="26"/>
  <c r="Q13" i="26"/>
  <c r="K13" i="26"/>
  <c r="AF12" i="26"/>
  <c r="N12" i="26"/>
  <c r="H12" i="26"/>
  <c r="D12" i="26"/>
  <c r="AG12" i="26"/>
  <c r="AE12" i="26"/>
  <c r="AC12" i="26"/>
  <c r="AA12" i="26"/>
  <c r="Y12" i="26"/>
  <c r="W12" i="26"/>
  <c r="U12" i="26"/>
  <c r="S12" i="26"/>
  <c r="Q12" i="26"/>
  <c r="O12" i="26"/>
  <c r="M12" i="26"/>
  <c r="K12" i="26"/>
  <c r="I12" i="26"/>
  <c r="G12" i="26"/>
  <c r="E12" i="26"/>
  <c r="C12" i="26"/>
  <c r="AH12" i="26"/>
  <c r="AD12" i="26"/>
  <c r="AB12" i="26"/>
  <c r="Z12" i="26"/>
  <c r="X12" i="26"/>
  <c r="V12" i="26"/>
  <c r="T12" i="26"/>
  <c r="R12" i="26"/>
  <c r="P12" i="26"/>
  <c r="L12" i="26"/>
  <c r="J12" i="26"/>
  <c r="F12" i="26"/>
  <c r="B12" i="26"/>
  <c r="A12" i="26"/>
  <c r="L59" i="21"/>
  <c r="N59" i="21"/>
  <c r="V77" i="21"/>
  <c r="T77" i="21"/>
  <c r="Q77" i="21"/>
  <c r="V6" i="30" l="1"/>
  <c r="U6" i="30"/>
  <c r="J168" i="16" l="1"/>
  <c r="J167" i="16"/>
  <c r="J166" i="16"/>
  <c r="J165" i="16"/>
  <c r="J164" i="16"/>
  <c r="D106" i="10" l="1"/>
  <c r="D105" i="10"/>
  <c r="D104" i="10"/>
  <c r="D103" i="10"/>
  <c r="D102" i="10"/>
  <c r="D101" i="10"/>
  <c r="D100" i="10"/>
  <c r="D99" i="10"/>
  <c r="D98" i="10"/>
  <c r="D97" i="10"/>
  <c r="D96" i="10"/>
  <c r="D95" i="10"/>
  <c r="D94" i="10"/>
  <c r="N166" i="16" s="1"/>
  <c r="D93" i="10"/>
  <c r="D92" i="10"/>
  <c r="N167" i="16" s="1"/>
  <c r="D91" i="10"/>
  <c r="N165" i="16" s="1"/>
  <c r="D90" i="10"/>
  <c r="D89" i="10"/>
  <c r="N164" i="16"/>
  <c r="N168" i="16" l="1"/>
  <c r="A101" i="29"/>
  <c r="A102" i="29"/>
  <c r="K88" i="29"/>
  <c r="Q88" i="29"/>
  <c r="K87" i="29"/>
  <c r="K79" i="29"/>
  <c r="K80" i="29"/>
  <c r="K81" i="29"/>
  <c r="K82" i="29"/>
  <c r="K83" i="29"/>
  <c r="K84" i="29"/>
  <c r="K85" i="29"/>
  <c r="K86" i="29"/>
  <c r="K78" i="29"/>
  <c r="H38" i="2" l="1"/>
  <c r="H39" i="2"/>
  <c r="AG39" i="3"/>
  <c r="AI103" i="21" l="1"/>
  <c r="AH103" i="21"/>
  <c r="AG103" i="21"/>
  <c r="AF103" i="21"/>
  <c r="AI102" i="21"/>
  <c r="AH102" i="21"/>
  <c r="AG102" i="21"/>
  <c r="AF102" i="21"/>
  <c r="AI101" i="21"/>
  <c r="AH101" i="21"/>
  <c r="AG101" i="21"/>
  <c r="AF101" i="21"/>
  <c r="AI100" i="21"/>
  <c r="AH100" i="21"/>
  <c r="AG100" i="21"/>
  <c r="AF100" i="21"/>
  <c r="AI99" i="21"/>
  <c r="AH99" i="21"/>
  <c r="AG99" i="21"/>
  <c r="AF99" i="21"/>
  <c r="AI98" i="21"/>
  <c r="AH98" i="21"/>
  <c r="AG98" i="21"/>
  <c r="AF98" i="21"/>
  <c r="AI97" i="21"/>
  <c r="AH97" i="21"/>
  <c r="AG97" i="21"/>
  <c r="AF97" i="21"/>
  <c r="AI96" i="21"/>
  <c r="AH96" i="21"/>
  <c r="AG96" i="21"/>
  <c r="AF96" i="21"/>
  <c r="AI95" i="21"/>
  <c r="AH95" i="21"/>
  <c r="AG95" i="21"/>
  <c r="AF95" i="21"/>
  <c r="T103" i="21"/>
  <c r="S103" i="21"/>
  <c r="R103" i="21"/>
  <c r="Q103" i="21"/>
  <c r="T102" i="21"/>
  <c r="S102" i="21"/>
  <c r="R102" i="21"/>
  <c r="Q102" i="21"/>
  <c r="T101" i="21"/>
  <c r="S101" i="21"/>
  <c r="R101" i="21"/>
  <c r="Q101" i="21"/>
  <c r="T100" i="21"/>
  <c r="S100" i="21"/>
  <c r="R100" i="21"/>
  <c r="Q100" i="21"/>
  <c r="T99" i="21"/>
  <c r="S99" i="21"/>
  <c r="R99" i="21"/>
  <c r="Q99" i="21"/>
  <c r="T98" i="21"/>
  <c r="S98" i="21"/>
  <c r="R98" i="21"/>
  <c r="Q98" i="21"/>
  <c r="T97" i="21"/>
  <c r="S97" i="21"/>
  <c r="R97" i="21"/>
  <c r="Q97" i="21"/>
  <c r="T96" i="21"/>
  <c r="S96" i="21"/>
  <c r="R96" i="21"/>
  <c r="Q96" i="21"/>
  <c r="T95" i="21"/>
  <c r="S95" i="21"/>
  <c r="R95" i="21"/>
  <c r="Q95" i="21"/>
  <c r="E157" i="12" l="1"/>
  <c r="F157" i="12"/>
  <c r="G157" i="12"/>
  <c r="H157" i="12"/>
  <c r="I157" i="12"/>
  <c r="J157" i="12"/>
  <c r="K157" i="12"/>
  <c r="L157" i="12"/>
  <c r="M157" i="12"/>
  <c r="N157" i="12"/>
  <c r="O157" i="12"/>
  <c r="D157" i="12"/>
  <c r="N39" i="19" l="1"/>
  <c r="V39" i="19"/>
  <c r="J39" i="19"/>
  <c r="R39" i="19" l="1"/>
  <c r="O50" i="17"/>
  <c r="W39" i="19" l="1"/>
  <c r="T39" i="19"/>
  <c r="N163" i="14"/>
  <c r="M163" i="14"/>
  <c r="L163" i="14"/>
  <c r="K163" i="14"/>
  <c r="J163" i="14"/>
  <c r="N162" i="14"/>
  <c r="M162" i="14"/>
  <c r="L162" i="14"/>
  <c r="K162" i="14"/>
  <c r="J162" i="14"/>
  <c r="N161" i="14"/>
  <c r="M161" i="14"/>
  <c r="L161" i="14"/>
  <c r="K161" i="14"/>
  <c r="J161" i="14"/>
  <c r="N160" i="14"/>
  <c r="M160" i="14"/>
  <c r="L160" i="14"/>
  <c r="K160" i="14"/>
  <c r="J160" i="14"/>
  <c r="N159" i="14"/>
  <c r="M159" i="14"/>
  <c r="L159" i="14"/>
  <c r="K159" i="14"/>
  <c r="J159" i="14"/>
  <c r="N158" i="14"/>
  <c r="M158" i="14"/>
  <c r="L158" i="14"/>
  <c r="K158" i="14"/>
  <c r="J158" i="14"/>
  <c r="N157" i="14"/>
  <c r="M157" i="14"/>
  <c r="L157" i="14"/>
  <c r="K157" i="14"/>
  <c r="J157" i="14"/>
  <c r="N156" i="14"/>
  <c r="M156" i="14"/>
  <c r="L156" i="14"/>
  <c r="K156" i="14"/>
  <c r="J156" i="14"/>
  <c r="N155" i="14"/>
  <c r="M155" i="14"/>
  <c r="L155" i="14"/>
  <c r="K155" i="14"/>
  <c r="J155" i="14"/>
  <c r="N154" i="14"/>
  <c r="M154" i="14"/>
  <c r="L154" i="14"/>
  <c r="K154" i="14"/>
  <c r="J154" i="14"/>
  <c r="N153" i="14"/>
  <c r="M153" i="14"/>
  <c r="L153" i="14"/>
  <c r="K153" i="14"/>
  <c r="J153" i="14"/>
  <c r="N152" i="14"/>
  <c r="M152" i="14"/>
  <c r="L152" i="14"/>
  <c r="K152" i="14"/>
  <c r="J152" i="14"/>
  <c r="N151" i="14"/>
  <c r="M151" i="14"/>
  <c r="L151" i="14"/>
  <c r="K151" i="14"/>
  <c r="J151" i="14"/>
  <c r="N150" i="14"/>
  <c r="M150" i="14"/>
  <c r="L150" i="14"/>
  <c r="K150" i="14"/>
  <c r="J150" i="14"/>
  <c r="N149" i="14"/>
  <c r="M149" i="14"/>
  <c r="L149" i="14"/>
  <c r="K149" i="14"/>
  <c r="J149" i="14"/>
  <c r="N148" i="14"/>
  <c r="M148" i="14"/>
  <c r="L148" i="14"/>
  <c r="K148" i="14"/>
  <c r="J148" i="14"/>
  <c r="N147" i="14"/>
  <c r="M147" i="14"/>
  <c r="L147" i="14"/>
  <c r="K147" i="14"/>
  <c r="J147" i="14"/>
  <c r="N146" i="14"/>
  <c r="M146" i="14"/>
  <c r="L146" i="14"/>
  <c r="K146" i="14"/>
  <c r="J146" i="14"/>
  <c r="N145" i="14"/>
  <c r="M145" i="14"/>
  <c r="L145" i="14"/>
  <c r="K145" i="14"/>
  <c r="J145" i="14"/>
  <c r="N144" i="14"/>
  <c r="M144" i="14"/>
  <c r="L144" i="14"/>
  <c r="K144" i="14"/>
  <c r="J144" i="14"/>
  <c r="N143" i="14"/>
  <c r="M143" i="14"/>
  <c r="L143" i="14"/>
  <c r="K143" i="14"/>
  <c r="J143" i="14"/>
  <c r="N142" i="14"/>
  <c r="M142" i="14"/>
  <c r="L142" i="14"/>
  <c r="K142" i="14"/>
  <c r="J142" i="14"/>
  <c r="N141" i="14"/>
  <c r="M141" i="14"/>
  <c r="L141" i="14"/>
  <c r="K141" i="14"/>
  <c r="J141" i="14"/>
  <c r="N140" i="14"/>
  <c r="M140" i="14"/>
  <c r="L140" i="14"/>
  <c r="K140" i="14"/>
  <c r="J140" i="14"/>
  <c r="N139" i="14"/>
  <c r="M139" i="14"/>
  <c r="L139" i="14"/>
  <c r="K139" i="14"/>
  <c r="J139" i="14"/>
  <c r="N138" i="14"/>
  <c r="M138" i="14"/>
  <c r="L138" i="14"/>
  <c r="K138" i="14"/>
  <c r="J138" i="14"/>
  <c r="N137" i="14"/>
  <c r="M137" i="14"/>
  <c r="L137" i="14"/>
  <c r="K137" i="14"/>
  <c r="J137" i="14"/>
  <c r="N136" i="14"/>
  <c r="M136" i="14"/>
  <c r="L136" i="14"/>
  <c r="K136" i="14"/>
  <c r="J136" i="14"/>
  <c r="N135" i="14"/>
  <c r="M135" i="14"/>
  <c r="L135" i="14"/>
  <c r="K135" i="14"/>
  <c r="J135" i="14"/>
  <c r="N134" i="14"/>
  <c r="M134" i="14"/>
  <c r="L134" i="14"/>
  <c r="K134" i="14"/>
  <c r="J134" i="14"/>
  <c r="N133" i="14"/>
  <c r="M133" i="14"/>
  <c r="L133" i="14"/>
  <c r="K133" i="14"/>
  <c r="J133" i="14"/>
  <c r="N132" i="14"/>
  <c r="M132" i="14"/>
  <c r="L132" i="14"/>
  <c r="K132" i="14"/>
  <c r="J132" i="14"/>
  <c r="N131" i="14"/>
  <c r="M131" i="14"/>
  <c r="L131" i="14"/>
  <c r="K131" i="14"/>
  <c r="J131" i="14"/>
  <c r="N130" i="14"/>
  <c r="M130" i="14"/>
  <c r="L130" i="14"/>
  <c r="K130" i="14"/>
  <c r="J130" i="14"/>
  <c r="N129" i="14"/>
  <c r="M129" i="14"/>
  <c r="L129" i="14"/>
  <c r="K129" i="14"/>
  <c r="J129" i="14"/>
  <c r="N128" i="14"/>
  <c r="M128" i="14"/>
  <c r="L128" i="14"/>
  <c r="K128" i="14"/>
  <c r="J128" i="14"/>
  <c r="N127" i="14"/>
  <c r="M127" i="14"/>
  <c r="L127" i="14"/>
  <c r="K127" i="14"/>
  <c r="J127" i="14"/>
  <c r="N126" i="14"/>
  <c r="M126" i="14"/>
  <c r="L126" i="14"/>
  <c r="K126" i="14"/>
  <c r="J126" i="14"/>
  <c r="N125" i="14"/>
  <c r="M125" i="14"/>
  <c r="L125" i="14"/>
  <c r="K125" i="14"/>
  <c r="J125" i="14"/>
  <c r="N124" i="14"/>
  <c r="M124" i="14"/>
  <c r="L124" i="14"/>
  <c r="K124" i="14"/>
  <c r="J124" i="14"/>
  <c r="N123" i="14"/>
  <c r="M123" i="14"/>
  <c r="L123" i="14"/>
  <c r="K123" i="14"/>
  <c r="J123" i="14"/>
  <c r="N122" i="14"/>
  <c r="M122" i="14"/>
  <c r="L122" i="14"/>
  <c r="K122" i="14"/>
  <c r="J122" i="14"/>
  <c r="N121" i="14"/>
  <c r="M121" i="14"/>
  <c r="L121" i="14"/>
  <c r="K121" i="14"/>
  <c r="J121" i="14"/>
  <c r="N120" i="14"/>
  <c r="M120" i="14"/>
  <c r="L120" i="14"/>
  <c r="K120" i="14"/>
  <c r="J120" i="14"/>
  <c r="N119" i="14"/>
  <c r="M119" i="14"/>
  <c r="L119" i="14"/>
  <c r="K119" i="14"/>
  <c r="J119" i="14"/>
  <c r="N118" i="14"/>
  <c r="M118" i="14"/>
  <c r="L118" i="14"/>
  <c r="K118" i="14"/>
  <c r="J118" i="14"/>
  <c r="N117" i="14"/>
  <c r="M117" i="14"/>
  <c r="L117" i="14"/>
  <c r="K117" i="14"/>
  <c r="J117" i="14"/>
  <c r="N116" i="14"/>
  <c r="M116" i="14"/>
  <c r="L116" i="14"/>
  <c r="K116" i="14"/>
  <c r="J116" i="14"/>
  <c r="N115" i="14"/>
  <c r="M115" i="14"/>
  <c r="L115" i="14"/>
  <c r="K115" i="14"/>
  <c r="J115" i="14"/>
  <c r="H107" i="14"/>
  <c r="H74" i="14"/>
  <c r="H75" i="14"/>
  <c r="H76" i="14"/>
  <c r="H77" i="14"/>
  <c r="H78" i="14"/>
  <c r="H79" i="14"/>
  <c r="H80" i="14"/>
  <c r="H81" i="14"/>
  <c r="H82" i="14"/>
  <c r="H83" i="14"/>
  <c r="H84" i="14"/>
  <c r="H85" i="14"/>
  <c r="H86" i="14"/>
  <c r="H87" i="14"/>
  <c r="H88" i="14"/>
  <c r="H162" i="14" l="1"/>
  <c r="H60" i="14"/>
  <c r="H61" i="14"/>
  <c r="H62" i="14"/>
  <c r="H63" i="14"/>
  <c r="H64" i="14"/>
  <c r="H65" i="14"/>
  <c r="H66" i="14"/>
  <c r="H67" i="14"/>
  <c r="H68" i="14"/>
  <c r="H69" i="14"/>
  <c r="H70" i="14"/>
  <c r="H71" i="14"/>
  <c r="H72" i="14"/>
  <c r="H73" i="14"/>
  <c r="H106" i="14" l="1"/>
  <c r="J106" i="14" s="1"/>
  <c r="H104" i="14"/>
  <c r="J104" i="14" s="1"/>
  <c r="H102" i="14"/>
  <c r="J102" i="14" s="1"/>
  <c r="H100" i="14"/>
  <c r="J100" i="14" s="1"/>
  <c r="H98" i="14"/>
  <c r="J98" i="14" s="1"/>
  <c r="H96" i="14"/>
  <c r="J96" i="14" s="1"/>
  <c r="H94" i="14"/>
  <c r="J94" i="14" s="1"/>
  <c r="H92" i="14"/>
  <c r="J92" i="14" s="1"/>
  <c r="H90" i="14"/>
  <c r="J90" i="14" s="1"/>
  <c r="M94" i="14"/>
  <c r="H105" i="14"/>
  <c r="K105" i="14" s="1"/>
  <c r="H103" i="14"/>
  <c r="N103" i="14" s="1"/>
  <c r="H101" i="14"/>
  <c r="K101" i="14" s="1"/>
  <c r="H99" i="14"/>
  <c r="N99" i="14" s="1"/>
  <c r="H97" i="14"/>
  <c r="K97" i="14" s="1"/>
  <c r="H95" i="14"/>
  <c r="N95" i="14" s="1"/>
  <c r="H93" i="14"/>
  <c r="K93" i="14" s="1"/>
  <c r="H91" i="14"/>
  <c r="N91" i="14" s="1"/>
  <c r="H89" i="14"/>
  <c r="K89" i="14" s="1"/>
  <c r="L104" i="14"/>
  <c r="L92" i="14"/>
  <c r="M101" i="14"/>
  <c r="M97" i="14"/>
  <c r="M89" i="14"/>
  <c r="N104" i="14"/>
  <c r="N92" i="14"/>
  <c r="H59" i="14"/>
  <c r="L100" i="14" l="1"/>
  <c r="L96" i="14"/>
  <c r="M93" i="14"/>
  <c r="N96" i="14"/>
  <c r="K90" i="14"/>
  <c r="N100" i="14"/>
  <c r="M103" i="14"/>
  <c r="M105" i="14"/>
  <c r="K106" i="14"/>
  <c r="K98" i="14"/>
  <c r="M102" i="14"/>
  <c r="M91" i="14"/>
  <c r="M95" i="14"/>
  <c r="M99" i="14"/>
  <c r="J89" i="14"/>
  <c r="J91" i="14"/>
  <c r="J93" i="14"/>
  <c r="J95" i="14"/>
  <c r="J97" i="14"/>
  <c r="J99" i="14"/>
  <c r="J101" i="14"/>
  <c r="J103" i="14"/>
  <c r="J105" i="14"/>
  <c r="K94" i="14"/>
  <c r="K102" i="14"/>
  <c r="M90" i="14"/>
  <c r="M98" i="14"/>
  <c r="M106" i="14"/>
  <c r="N93" i="14"/>
  <c r="N101" i="14"/>
  <c r="L95" i="14"/>
  <c r="L103" i="14"/>
  <c r="K95" i="14"/>
  <c r="K103" i="14"/>
  <c r="N89" i="14"/>
  <c r="N97" i="14"/>
  <c r="N105" i="14"/>
  <c r="L91" i="14"/>
  <c r="L99" i="14"/>
  <c r="K91" i="14"/>
  <c r="K99" i="14"/>
  <c r="N90" i="14"/>
  <c r="N94" i="14"/>
  <c r="N98" i="14"/>
  <c r="N102" i="14"/>
  <c r="N106" i="14"/>
  <c r="L90" i="14"/>
  <c r="L94" i="14"/>
  <c r="O94" i="14" s="1"/>
  <c r="L98" i="14"/>
  <c r="L102" i="14"/>
  <c r="L106" i="14"/>
  <c r="K92" i="14"/>
  <c r="K96" i="14"/>
  <c r="K100" i="14"/>
  <c r="K104" i="14"/>
  <c r="M92" i="14"/>
  <c r="M96" i="14"/>
  <c r="M100" i="14"/>
  <c r="M104" i="14"/>
  <c r="L89" i="14"/>
  <c r="O89" i="14" s="1"/>
  <c r="L93" i="14"/>
  <c r="L97" i="14"/>
  <c r="L101" i="14"/>
  <c r="L105" i="14"/>
  <c r="M54" i="14"/>
  <c r="N54" i="14"/>
  <c r="O54" i="14"/>
  <c r="P54" i="14"/>
  <c r="Q54" i="14"/>
  <c r="R54" i="14"/>
  <c r="S54" i="14"/>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J6"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L7"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K54"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K53" i="14"/>
  <c r="M151" i="5"/>
  <c r="L151" i="5"/>
  <c r="M136" i="5"/>
  <c r="L136" i="5"/>
  <c r="M121" i="5"/>
  <c r="L121" i="5"/>
  <c r="M106" i="5"/>
  <c r="L106" i="5"/>
  <c r="M91" i="5"/>
  <c r="L91" i="5"/>
  <c r="M76" i="5"/>
  <c r="L76" i="5"/>
  <c r="M61" i="5"/>
  <c r="L61" i="5"/>
  <c r="M46" i="5"/>
  <c r="L46" i="5"/>
  <c r="M31" i="5"/>
  <c r="L31" i="5"/>
  <c r="M16" i="5"/>
  <c r="L16" i="5"/>
  <c r="M150" i="5"/>
  <c r="L150" i="5"/>
  <c r="M135" i="5"/>
  <c r="L135" i="5"/>
  <c r="M120" i="5"/>
  <c r="L120" i="5"/>
  <c r="M105" i="5"/>
  <c r="L105" i="5"/>
  <c r="M90" i="5"/>
  <c r="L90" i="5"/>
  <c r="M75" i="5"/>
  <c r="L75" i="5"/>
  <c r="M60" i="5"/>
  <c r="L60" i="5"/>
  <c r="M45" i="5"/>
  <c r="L45" i="5"/>
  <c r="M30" i="5"/>
  <c r="L30" i="5"/>
  <c r="M15" i="5"/>
  <c r="L15" i="5"/>
  <c r="M149" i="5"/>
  <c r="L149" i="5"/>
  <c r="M134" i="5"/>
  <c r="L134" i="5"/>
  <c r="M119" i="5"/>
  <c r="L119" i="5"/>
  <c r="M104" i="5"/>
  <c r="L104" i="5"/>
  <c r="M89" i="5"/>
  <c r="L89" i="5"/>
  <c r="M74" i="5"/>
  <c r="L74" i="5"/>
  <c r="M59" i="5"/>
  <c r="L59" i="5"/>
  <c r="M44" i="5"/>
  <c r="L44" i="5"/>
  <c r="M29" i="5"/>
  <c r="L29" i="5"/>
  <c r="M14" i="5"/>
  <c r="L14" i="5"/>
  <c r="M148" i="5"/>
  <c r="L148" i="5"/>
  <c r="M133" i="5"/>
  <c r="L133" i="5"/>
  <c r="M118" i="5"/>
  <c r="L118" i="5"/>
  <c r="M103" i="5"/>
  <c r="L103" i="5"/>
  <c r="M88" i="5"/>
  <c r="L88" i="5"/>
  <c r="M73" i="5"/>
  <c r="L73" i="5"/>
  <c r="M58" i="5"/>
  <c r="L58" i="5"/>
  <c r="M43" i="5"/>
  <c r="L43" i="5"/>
  <c r="M28" i="5"/>
  <c r="L28" i="5"/>
  <c r="M13" i="5"/>
  <c r="L13" i="5"/>
  <c r="M147" i="5"/>
  <c r="L147" i="5"/>
  <c r="M132" i="5"/>
  <c r="L132" i="5"/>
  <c r="M117" i="5"/>
  <c r="L117" i="5"/>
  <c r="M102" i="5"/>
  <c r="L102" i="5"/>
  <c r="M87" i="5"/>
  <c r="L87" i="5"/>
  <c r="M72" i="5"/>
  <c r="L72" i="5"/>
  <c r="M57" i="5"/>
  <c r="L57" i="5"/>
  <c r="M42" i="5"/>
  <c r="L42" i="5"/>
  <c r="M27" i="5"/>
  <c r="L27" i="5"/>
  <c r="M12" i="5"/>
  <c r="L12" i="5"/>
  <c r="M146" i="5"/>
  <c r="L146" i="5"/>
  <c r="M131" i="5"/>
  <c r="L131" i="5"/>
  <c r="M116" i="5"/>
  <c r="L116" i="5"/>
  <c r="M101" i="5"/>
  <c r="L101" i="5"/>
  <c r="M86" i="5"/>
  <c r="L86" i="5"/>
  <c r="M71" i="5"/>
  <c r="L71" i="5"/>
  <c r="M56" i="5"/>
  <c r="L56" i="5"/>
  <c r="M41" i="5"/>
  <c r="L41" i="5"/>
  <c r="M26" i="5"/>
  <c r="L26" i="5"/>
  <c r="M11" i="5"/>
  <c r="L11" i="5"/>
  <c r="M145" i="5"/>
  <c r="L145" i="5"/>
  <c r="M130" i="5"/>
  <c r="L130" i="5"/>
  <c r="M115" i="5"/>
  <c r="L115" i="5"/>
  <c r="M100" i="5"/>
  <c r="L100" i="5"/>
  <c r="M85" i="5"/>
  <c r="L85" i="5"/>
  <c r="M70" i="5"/>
  <c r="L70" i="5"/>
  <c r="M55" i="5"/>
  <c r="L55" i="5"/>
  <c r="M40" i="5"/>
  <c r="L40" i="5"/>
  <c r="M25" i="5"/>
  <c r="L25" i="5"/>
  <c r="M10" i="5"/>
  <c r="L10" i="5"/>
  <c r="M144" i="5"/>
  <c r="L144" i="5"/>
  <c r="M129" i="5"/>
  <c r="L129" i="5"/>
  <c r="M114" i="5"/>
  <c r="L114" i="5"/>
  <c r="M99" i="5"/>
  <c r="L99" i="5"/>
  <c r="M84" i="5"/>
  <c r="L84" i="5"/>
  <c r="M69" i="5"/>
  <c r="L69" i="5"/>
  <c r="M54" i="5"/>
  <c r="L54" i="5"/>
  <c r="M39" i="5"/>
  <c r="L39" i="5"/>
  <c r="M24" i="5"/>
  <c r="L24" i="5"/>
  <c r="M9" i="5"/>
  <c r="L9" i="5"/>
  <c r="M143" i="5"/>
  <c r="L143" i="5"/>
  <c r="M128" i="5"/>
  <c r="L128" i="5"/>
  <c r="M113" i="5"/>
  <c r="L113" i="5"/>
  <c r="M98" i="5"/>
  <c r="L98" i="5"/>
  <c r="M83" i="5"/>
  <c r="L83" i="5"/>
  <c r="M68" i="5"/>
  <c r="L68" i="5"/>
  <c r="M53" i="5"/>
  <c r="L53" i="5"/>
  <c r="M38" i="5"/>
  <c r="L38" i="5"/>
  <c r="M23" i="5"/>
  <c r="L23" i="5"/>
  <c r="M8" i="5"/>
  <c r="L8" i="5"/>
  <c r="M142" i="5"/>
  <c r="L142" i="5"/>
  <c r="M127" i="5"/>
  <c r="L127" i="5"/>
  <c r="M112" i="5"/>
  <c r="L112" i="5"/>
  <c r="M97" i="5"/>
  <c r="L97" i="5"/>
  <c r="M82" i="5"/>
  <c r="L82" i="5"/>
  <c r="M67" i="5"/>
  <c r="L67" i="5"/>
  <c r="M52" i="5"/>
  <c r="L52" i="5"/>
  <c r="M37" i="5"/>
  <c r="L37" i="5"/>
  <c r="M22" i="5"/>
  <c r="L22" i="5"/>
  <c r="M7" i="5"/>
  <c r="L7" i="5"/>
  <c r="M141" i="5"/>
  <c r="L141" i="5"/>
  <c r="M126" i="5"/>
  <c r="L126" i="5"/>
  <c r="M111" i="5"/>
  <c r="L111" i="5"/>
  <c r="M96" i="5"/>
  <c r="L96" i="5"/>
  <c r="M81" i="5"/>
  <c r="L81" i="5"/>
  <c r="M66" i="5"/>
  <c r="L66" i="5"/>
  <c r="M51" i="5"/>
  <c r="L51" i="5"/>
  <c r="M36" i="5"/>
  <c r="L36" i="5"/>
  <c r="M21" i="5"/>
  <c r="L21" i="5"/>
  <c r="M6" i="5"/>
  <c r="L6" i="5"/>
  <c r="M140" i="5"/>
  <c r="L140" i="5"/>
  <c r="M125" i="5"/>
  <c r="L125" i="5"/>
  <c r="M110" i="5"/>
  <c r="L110" i="5"/>
  <c r="M95" i="5"/>
  <c r="L95" i="5"/>
  <c r="M80" i="5"/>
  <c r="L80" i="5"/>
  <c r="M65" i="5"/>
  <c r="L65" i="5"/>
  <c r="M50" i="5"/>
  <c r="L50" i="5"/>
  <c r="M35" i="5"/>
  <c r="L35" i="5"/>
  <c r="M20" i="5"/>
  <c r="L20" i="5"/>
  <c r="M5" i="5"/>
  <c r="L5" i="5"/>
  <c r="M139" i="5"/>
  <c r="L139" i="5"/>
  <c r="M124" i="5"/>
  <c r="L124" i="5"/>
  <c r="M109" i="5"/>
  <c r="L109" i="5"/>
  <c r="M94" i="5"/>
  <c r="L94" i="5"/>
  <c r="M79" i="5"/>
  <c r="L79" i="5"/>
  <c r="M64" i="5"/>
  <c r="L64" i="5"/>
  <c r="M49" i="5"/>
  <c r="L49" i="5"/>
  <c r="M34" i="5"/>
  <c r="L34" i="5"/>
  <c r="M19" i="5"/>
  <c r="L19" i="5"/>
  <c r="M4" i="5"/>
  <c r="L4" i="5"/>
  <c r="M138" i="5"/>
  <c r="L138" i="5"/>
  <c r="M123" i="5"/>
  <c r="L123" i="5"/>
  <c r="M108" i="5"/>
  <c r="L108" i="5"/>
  <c r="M93" i="5"/>
  <c r="L93" i="5"/>
  <c r="M78" i="5"/>
  <c r="L78" i="5"/>
  <c r="M63" i="5"/>
  <c r="L63" i="5"/>
  <c r="M48" i="5"/>
  <c r="L48" i="5"/>
  <c r="M33" i="5"/>
  <c r="L33" i="5"/>
  <c r="M18" i="5"/>
  <c r="L18" i="5"/>
  <c r="M3" i="5"/>
  <c r="L3" i="5"/>
  <c r="M137" i="5"/>
  <c r="L137" i="5"/>
  <c r="M122" i="5"/>
  <c r="L122" i="5"/>
  <c r="M107" i="5"/>
  <c r="L107" i="5"/>
  <c r="M92" i="5"/>
  <c r="L92" i="5"/>
  <c r="M77" i="5"/>
  <c r="L77" i="5"/>
  <c r="M62" i="5"/>
  <c r="L62" i="5"/>
  <c r="M47" i="5"/>
  <c r="L47" i="5"/>
  <c r="M32" i="5"/>
  <c r="L32" i="5"/>
  <c r="M17" i="5"/>
  <c r="L17" i="5"/>
  <c r="M2" i="5"/>
  <c r="G97" i="3"/>
  <c r="I97" i="3"/>
  <c r="E97" i="3"/>
  <c r="AB14" i="3"/>
  <c r="AB15" i="3"/>
  <c r="AB16" i="3"/>
  <c r="AB17" i="3"/>
  <c r="AB18" i="3"/>
  <c r="AB19" i="3"/>
  <c r="AB20" i="3"/>
  <c r="AB21" i="3"/>
  <c r="AB22" i="3"/>
  <c r="AB23" i="3"/>
  <c r="AB24" i="3"/>
  <c r="AB25" i="3"/>
  <c r="AB26" i="3"/>
  <c r="AB27" i="3"/>
  <c r="AB28" i="3"/>
  <c r="AB29" i="3"/>
  <c r="AB30" i="3"/>
  <c r="AB31" i="3"/>
  <c r="AB32" i="3"/>
  <c r="AB33" i="3"/>
  <c r="AB34" i="3"/>
  <c r="AB35" i="3"/>
  <c r="AB36" i="3"/>
  <c r="V39" i="3"/>
  <c r="Q39" i="3"/>
  <c r="E39" i="3"/>
  <c r="O93" i="14" l="1"/>
  <c r="O91" i="14"/>
  <c r="O103" i="14"/>
  <c r="O97" i="14"/>
  <c r="O102" i="14"/>
  <c r="O106" i="14"/>
  <c r="O105" i="14"/>
  <c r="O104" i="14"/>
  <c r="O101" i="14"/>
  <c r="O96" i="14"/>
  <c r="O98" i="14"/>
  <c r="O90" i="14"/>
  <c r="O99" i="14"/>
  <c r="O95" i="14"/>
  <c r="O100" i="14"/>
  <c r="O92" i="14"/>
  <c r="J97" i="3"/>
  <c r="H97" i="3"/>
  <c r="F97" i="3"/>
  <c r="D97" i="3"/>
  <c r="AB39" i="3"/>
  <c r="E65" i="2"/>
  <c r="F65" i="2"/>
  <c r="E66" i="2"/>
  <c r="F66" i="2"/>
  <c r="E67" i="2"/>
  <c r="F67" i="2"/>
  <c r="E68" i="2"/>
  <c r="F68" i="2"/>
  <c r="E69" i="2"/>
  <c r="F69" i="2"/>
  <c r="E70" i="2"/>
  <c r="F70" i="2"/>
  <c r="E71" i="2"/>
  <c r="F71" i="2"/>
  <c r="E72" i="2"/>
  <c r="F72" i="2"/>
  <c r="E73" i="2"/>
  <c r="F73" i="2"/>
  <c r="E74" i="2"/>
  <c r="F74" i="2"/>
  <c r="E75" i="2"/>
  <c r="F75" i="2"/>
  <c r="E76" i="2"/>
  <c r="F76" i="2"/>
  <c r="E77" i="2"/>
  <c r="F77" i="2"/>
  <c r="C98" i="9"/>
  <c r="D98" i="9" s="1"/>
  <c r="E98" i="9" s="1"/>
  <c r="F98" i="9" s="1"/>
  <c r="C99" i="9"/>
  <c r="D99" i="9" s="1"/>
  <c r="E99" i="9" s="1"/>
  <c r="F99" i="9" s="1"/>
  <c r="C100" i="9"/>
  <c r="D100" i="9" s="1"/>
  <c r="E100" i="9" s="1"/>
  <c r="F100" i="9" s="1"/>
  <c r="C101" i="9"/>
  <c r="D101" i="9" s="1"/>
  <c r="E101" i="9" s="1"/>
  <c r="F101" i="9" s="1"/>
  <c r="C102" i="9"/>
  <c r="D102" i="9" s="1"/>
  <c r="E102" i="9" s="1"/>
  <c r="F102" i="9" s="1"/>
  <c r="C103" i="9"/>
  <c r="D103" i="9" s="1"/>
  <c r="E103" i="9" s="1"/>
  <c r="F103" i="9" s="1"/>
  <c r="C104" i="9"/>
  <c r="D104" i="9" s="1"/>
  <c r="E104" i="9" s="1"/>
  <c r="F104" i="9" s="1"/>
  <c r="C105" i="9"/>
  <c r="D105" i="9" s="1"/>
  <c r="E105" i="9" s="1"/>
  <c r="F105" i="9" s="1"/>
  <c r="C106" i="9"/>
  <c r="D106" i="9" s="1"/>
  <c r="E106" i="9" s="1"/>
  <c r="F106" i="9" s="1"/>
  <c r="C97" i="9"/>
  <c r="D97" i="9" s="1"/>
  <c r="E97" i="9" s="1"/>
  <c r="F97" i="9" s="1"/>
  <c r="F78" i="2"/>
  <c r="E78" i="2"/>
  <c r="F7" i="10" l="1"/>
  <c r="F8" i="10"/>
  <c r="F9" i="10"/>
  <c r="F10" i="10"/>
  <c r="F11" i="10"/>
  <c r="F12" i="10"/>
  <c r="F13" i="10"/>
  <c r="F14" i="10"/>
  <c r="F16" i="10"/>
  <c r="F17" i="10"/>
  <c r="F18" i="10"/>
  <c r="N73" i="29" l="1"/>
  <c r="F73" i="29"/>
  <c r="P123" i="7" l="1"/>
  <c r="P124" i="7"/>
  <c r="P125" i="7"/>
  <c r="P126" i="7"/>
  <c r="P127" i="7"/>
  <c r="P128" i="7"/>
  <c r="P129" i="7"/>
  <c r="P122" i="7"/>
  <c r="H123" i="7"/>
  <c r="H124" i="7"/>
  <c r="H125" i="7"/>
  <c r="H126" i="7"/>
  <c r="H127" i="7"/>
  <c r="H128" i="7"/>
  <c r="H129" i="7"/>
  <c r="M6" i="26"/>
  <c r="AJ11" i="26" s="1"/>
  <c r="AC11" i="26" l="1"/>
  <c r="W11" i="26"/>
  <c r="Q11" i="26"/>
  <c r="K11" i="26"/>
  <c r="E11" i="26"/>
  <c r="AA11" i="26"/>
  <c r="U11" i="26"/>
  <c r="O11" i="26"/>
  <c r="I11" i="26"/>
  <c r="C11" i="26"/>
  <c r="AH11" i="26"/>
  <c r="AB11" i="26"/>
  <c r="V11" i="26"/>
  <c r="P11" i="26"/>
  <c r="J11" i="26"/>
  <c r="D11" i="26"/>
  <c r="L11" i="26"/>
  <c r="AI11" i="26"/>
  <c r="AF11" i="26"/>
  <c r="Z11" i="26"/>
  <c r="T11" i="26"/>
  <c r="N11" i="26"/>
  <c r="H11" i="26"/>
  <c r="B11" i="26"/>
  <c r="AE11" i="26"/>
  <c r="Y11" i="26"/>
  <c r="S11" i="26"/>
  <c r="M11" i="26"/>
  <c r="G11" i="26"/>
  <c r="AG11" i="26"/>
  <c r="AD11" i="26"/>
  <c r="X11" i="26"/>
  <c r="R11" i="26"/>
  <c r="F11" i="26"/>
  <c r="N126" i="29"/>
  <c r="L126" i="29"/>
  <c r="E126" i="29"/>
  <c r="C126" i="29"/>
  <c r="E127" i="29"/>
  <c r="C127" i="29"/>
  <c r="L127" i="29"/>
  <c r="E70" i="29"/>
  <c r="E69" i="29"/>
  <c r="E68" i="29"/>
  <c r="E67" i="29"/>
  <c r="E66" i="29"/>
  <c r="M70" i="29"/>
  <c r="M69" i="29"/>
  <c r="M68" i="29"/>
  <c r="M67" i="29"/>
  <c r="M66" i="29"/>
  <c r="Q87" i="29"/>
  <c r="Q86" i="29"/>
  <c r="Q85" i="29"/>
  <c r="Q84" i="29"/>
  <c r="Q83" i="29"/>
  <c r="Q82" i="29"/>
  <c r="Q81" i="29"/>
  <c r="Q80" i="29"/>
  <c r="Q79" i="29"/>
  <c r="Q78" i="29"/>
  <c r="Q77" i="29"/>
  <c r="K77" i="29"/>
  <c r="N127" i="29"/>
  <c r="J127" i="29"/>
  <c r="A127" i="29"/>
  <c r="J126" i="29"/>
  <c r="A126" i="29"/>
  <c r="N70" i="29"/>
  <c r="F70" i="29"/>
  <c r="N69" i="29"/>
  <c r="F69" i="29"/>
  <c r="N68" i="29"/>
  <c r="F68" i="29"/>
  <c r="N67" i="29"/>
  <c r="F67" i="29"/>
  <c r="N66" i="29"/>
  <c r="F66" i="29"/>
  <c r="I48" i="29"/>
  <c r="M48" i="29" s="1"/>
  <c r="I47" i="29"/>
  <c r="M47" i="29" s="1"/>
  <c r="I46" i="29"/>
  <c r="M46" i="29" s="1"/>
  <c r="I45" i="29"/>
  <c r="M45" i="29" s="1"/>
  <c r="I44" i="29"/>
  <c r="M44" i="29" s="1"/>
  <c r="I43" i="29"/>
  <c r="M43" i="29" s="1"/>
  <c r="D51" i="29"/>
  <c r="D50" i="29"/>
  <c r="D49" i="29"/>
  <c r="D48" i="29"/>
  <c r="D47" i="29"/>
  <c r="D46" i="29"/>
  <c r="D45" i="29"/>
  <c r="D44" i="29"/>
  <c r="D43" i="29"/>
  <c r="D42" i="29"/>
  <c r="D41" i="29"/>
  <c r="N37" i="29"/>
  <c r="N36" i="29"/>
  <c r="N35" i="29"/>
  <c r="G35" i="29"/>
  <c r="G36" i="29"/>
  <c r="N33" i="29"/>
  <c r="N32" i="29"/>
  <c r="N31" i="29"/>
  <c r="F33" i="29"/>
  <c r="F32" i="29"/>
  <c r="F31" i="29"/>
  <c r="D6" i="30"/>
  <c r="E6" i="30"/>
  <c r="F6" i="30"/>
  <c r="G6" i="30"/>
  <c r="H6" i="30"/>
  <c r="I6" i="30"/>
  <c r="J6" i="30"/>
  <c r="K6" i="30"/>
  <c r="L6" i="30"/>
  <c r="M6" i="30"/>
  <c r="N6" i="30"/>
  <c r="O6" i="30"/>
  <c r="P6" i="30"/>
  <c r="Q6" i="30"/>
  <c r="R6" i="30"/>
  <c r="S6" i="30"/>
  <c r="T6" i="30"/>
  <c r="C6" i="30"/>
  <c r="S4" i="26" l="1"/>
  <c r="S2" i="26"/>
  <c r="B17" i="26"/>
  <c r="B16" i="26"/>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6" i="11"/>
  <c r="H7" i="11"/>
  <c r="H8" i="11"/>
  <c r="H9" i="11"/>
  <c r="H10" i="11"/>
  <c r="H11" i="11"/>
  <c r="H12" i="11"/>
  <c r="H13" i="11"/>
  <c r="H14" i="11"/>
  <c r="H15" i="11"/>
  <c r="H16" i="11"/>
  <c r="H17" i="11"/>
  <c r="H18" i="11"/>
  <c r="H5" i="11"/>
  <c r="R38" i="20" l="1"/>
  <c r="A44" i="20" l="1"/>
  <c r="A45" i="20"/>
  <c r="A49" i="20"/>
  <c r="A48" i="20"/>
  <c r="R39" i="20"/>
  <c r="F39" i="20"/>
  <c r="H5" i="2" l="1"/>
  <c r="P49" i="20" l="1"/>
  <c r="M49" i="20"/>
  <c r="M48" i="20"/>
  <c r="J49" i="20"/>
  <c r="J48" i="20"/>
  <c r="F49" i="20"/>
  <c r="F48" i="20"/>
  <c r="M45" i="20"/>
  <c r="M44" i="20"/>
  <c r="J45" i="20"/>
  <c r="J44" i="20"/>
  <c r="F45" i="20"/>
  <c r="F44" i="20"/>
  <c r="L11" i="18"/>
  <c r="L12" i="18"/>
  <c r="L13" i="18"/>
  <c r="L15" i="18"/>
  <c r="L16" i="18"/>
  <c r="L17" i="18"/>
  <c r="L18" i="18"/>
  <c r="L19" i="18"/>
  <c r="P38" i="20" s="1"/>
  <c r="L20" i="18"/>
  <c r="L21" i="18"/>
  <c r="P39" i="20" s="1"/>
  <c r="L22" i="18"/>
  <c r="L23" i="18"/>
  <c r="F38" i="20"/>
  <c r="I11" i="18"/>
  <c r="I12" i="18"/>
  <c r="I13" i="18"/>
  <c r="I14" i="18"/>
  <c r="I15" i="18"/>
  <c r="I16" i="18"/>
  <c r="I17" i="18"/>
  <c r="I18" i="18"/>
  <c r="I19" i="18"/>
  <c r="J38" i="20" s="1"/>
  <c r="I20" i="18"/>
  <c r="I21" i="18"/>
  <c r="J39" i="20" s="1"/>
  <c r="I22" i="18"/>
  <c r="I23" i="18"/>
  <c r="G11" i="18"/>
  <c r="G12" i="18"/>
  <c r="G13" i="18"/>
  <c r="G14" i="18"/>
  <c r="G15" i="18"/>
  <c r="G16" i="18"/>
  <c r="G17" i="18"/>
  <c r="G18" i="18"/>
  <c r="G19" i="18"/>
  <c r="G20" i="18"/>
  <c r="G21" i="18"/>
  <c r="G22" i="18"/>
  <c r="G23" i="18"/>
  <c r="H10" i="18" l="1"/>
  <c r="H12" i="18"/>
  <c r="H22" i="18"/>
  <c r="H20" i="18"/>
  <c r="H18" i="18"/>
  <c r="H16" i="18"/>
  <c r="H14" i="18"/>
  <c r="H21" i="18"/>
  <c r="H19" i="18"/>
  <c r="Q39" i="20" s="1"/>
  <c r="H17" i="18"/>
  <c r="H15" i="18"/>
  <c r="H13" i="18"/>
  <c r="H11" i="18"/>
  <c r="M39" i="20"/>
  <c r="M38" i="20"/>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N6" i="11" l="1"/>
  <c r="P6" i="11" s="1"/>
  <c r="N7" i="11"/>
  <c r="P7" i="11" s="1"/>
  <c r="N8" i="11"/>
  <c r="P8" i="11" s="1"/>
  <c r="N9" i="11"/>
  <c r="P9" i="11" s="1"/>
  <c r="N10" i="11"/>
  <c r="P10" i="11" s="1"/>
  <c r="N11" i="11"/>
  <c r="P11" i="11" s="1"/>
  <c r="N12" i="11"/>
  <c r="P12" i="11" s="1"/>
  <c r="N13" i="11"/>
  <c r="P13" i="11" s="1"/>
  <c r="N14" i="11"/>
  <c r="P14" i="11" s="1"/>
  <c r="N15" i="11"/>
  <c r="P15" i="11" s="1"/>
  <c r="N16" i="11"/>
  <c r="P16" i="11" s="1"/>
  <c r="N17" i="11"/>
  <c r="P17" i="11" s="1"/>
  <c r="N18" i="11"/>
  <c r="P18" i="11" s="1"/>
  <c r="N19" i="11"/>
  <c r="P19" i="11" s="1"/>
  <c r="R106" i="22" l="1"/>
  <c r="T105" i="22" s="1"/>
  <c r="O106" i="22"/>
  <c r="Q103" i="22" s="1"/>
  <c r="L106" i="22"/>
  <c r="N105" i="22" s="1"/>
  <c r="I106" i="22"/>
  <c r="K103" i="22" s="1"/>
  <c r="F106" i="22"/>
  <c r="H105" i="22" s="1"/>
  <c r="C106" i="22"/>
  <c r="E103" i="22" s="1"/>
  <c r="R195" i="21"/>
  <c r="Q195" i="21"/>
  <c r="Q204" i="21" s="1"/>
  <c r="P195" i="21"/>
  <c r="P204" i="21" s="1"/>
  <c r="O195" i="21"/>
  <c r="O204" i="21" s="1"/>
  <c r="N195" i="21"/>
  <c r="N204" i="21" s="1"/>
  <c r="D170" i="21"/>
  <c r="D182" i="21" s="1"/>
  <c r="E170" i="21"/>
  <c r="F170" i="21"/>
  <c r="F182" i="21" s="1"/>
  <c r="G170" i="21"/>
  <c r="H170" i="21"/>
  <c r="H182" i="21" s="1"/>
  <c r="I170" i="21"/>
  <c r="J170" i="21"/>
  <c r="J182" i="21" s="1"/>
  <c r="K170" i="21"/>
  <c r="L170" i="21"/>
  <c r="L182" i="21" s="1"/>
  <c r="M170" i="21"/>
  <c r="N170" i="21"/>
  <c r="N182" i="21" s="1"/>
  <c r="O170" i="21"/>
  <c r="P170" i="21"/>
  <c r="P182" i="21" s="1"/>
  <c r="Q170" i="21"/>
  <c r="R170" i="21"/>
  <c r="R182" i="21" s="1"/>
  <c r="S170" i="21"/>
  <c r="T170" i="21"/>
  <c r="U170" i="21"/>
  <c r="V170" i="21"/>
  <c r="V181" i="21" s="1"/>
  <c r="W170" i="21"/>
  <c r="X170" i="21"/>
  <c r="X181" i="21" s="1"/>
  <c r="Y170" i="21"/>
  <c r="Z170" i="21"/>
  <c r="C170" i="21"/>
  <c r="C176" i="21" s="1"/>
  <c r="C178" i="21"/>
  <c r="D195" i="21"/>
  <c r="E195" i="21"/>
  <c r="F195" i="21"/>
  <c r="G195" i="21"/>
  <c r="H195" i="21"/>
  <c r="I195" i="21"/>
  <c r="J195" i="21"/>
  <c r="K195" i="21"/>
  <c r="L195" i="21"/>
  <c r="M195" i="21"/>
  <c r="S195" i="21"/>
  <c r="C195" i="21"/>
  <c r="C197" i="21" s="1"/>
  <c r="D197" i="21"/>
  <c r="C182" i="21" l="1"/>
  <c r="C184" i="21"/>
  <c r="C180" i="21"/>
  <c r="Y175" i="21"/>
  <c r="Y177" i="21"/>
  <c r="Y179" i="21"/>
  <c r="Y174" i="21"/>
  <c r="Y176" i="21"/>
  <c r="Y178" i="21"/>
  <c r="Y180" i="21"/>
  <c r="W175" i="21"/>
  <c r="W177" i="21"/>
  <c r="W179" i="21"/>
  <c r="W174" i="21"/>
  <c r="W176" i="21"/>
  <c r="W178" i="21"/>
  <c r="W180" i="21"/>
  <c r="U175" i="21"/>
  <c r="U177" i="21"/>
  <c r="U179" i="21"/>
  <c r="U174" i="21"/>
  <c r="U176" i="21"/>
  <c r="U178" i="21"/>
  <c r="U180" i="21"/>
  <c r="S174" i="21"/>
  <c r="S176" i="21"/>
  <c r="S178" i="21"/>
  <c r="S180" i="21"/>
  <c r="S175" i="21"/>
  <c r="S177" i="21"/>
  <c r="S179" i="21"/>
  <c r="Q174" i="21"/>
  <c r="Q176" i="21"/>
  <c r="Q178" i="21"/>
  <c r="Q180" i="21"/>
  <c r="Q175" i="21"/>
  <c r="Q177" i="21"/>
  <c r="Q179" i="21"/>
  <c r="O174" i="21"/>
  <c r="O176" i="21"/>
  <c r="O178" i="21"/>
  <c r="O180" i="21"/>
  <c r="O175" i="21"/>
  <c r="O177" i="21"/>
  <c r="O179" i="21"/>
  <c r="M174" i="21"/>
  <c r="M176" i="21"/>
  <c r="M178" i="21"/>
  <c r="M180" i="21"/>
  <c r="M175" i="21"/>
  <c r="M177" i="21"/>
  <c r="M179" i="21"/>
  <c r="K174" i="21"/>
  <c r="K176" i="21"/>
  <c r="K178" i="21"/>
  <c r="K180" i="21"/>
  <c r="K175" i="21"/>
  <c r="K177" i="21"/>
  <c r="K179" i="21"/>
  <c r="I174" i="21"/>
  <c r="I176" i="21"/>
  <c r="I178" i="21"/>
  <c r="I180" i="21"/>
  <c r="I175" i="21"/>
  <c r="I177" i="21"/>
  <c r="I179" i="21"/>
  <c r="I181" i="21"/>
  <c r="G174" i="21"/>
  <c r="G176" i="21"/>
  <c r="G178" i="21"/>
  <c r="G180" i="21"/>
  <c r="G175" i="21"/>
  <c r="G177" i="21"/>
  <c r="G179" i="21"/>
  <c r="G181" i="21"/>
  <c r="E174" i="21"/>
  <c r="E176" i="21"/>
  <c r="E178" i="21"/>
  <c r="E180" i="21"/>
  <c r="E175" i="21"/>
  <c r="E177" i="21"/>
  <c r="E179" i="21"/>
  <c r="E181" i="21"/>
  <c r="Y184" i="21"/>
  <c r="W184" i="21"/>
  <c r="U184" i="21"/>
  <c r="R184" i="21"/>
  <c r="P184" i="21"/>
  <c r="N184" i="21"/>
  <c r="L184" i="21"/>
  <c r="J184" i="21"/>
  <c r="H184" i="21"/>
  <c r="F184" i="21"/>
  <c r="D184" i="21"/>
  <c r="X183" i="21"/>
  <c r="V183" i="21"/>
  <c r="S183" i="21"/>
  <c r="Q183" i="21"/>
  <c r="O183" i="21"/>
  <c r="M183" i="21"/>
  <c r="K183" i="21"/>
  <c r="I183" i="21"/>
  <c r="G183" i="21"/>
  <c r="E183" i="21"/>
  <c r="Y182" i="21"/>
  <c r="W182" i="21"/>
  <c r="U182" i="21"/>
  <c r="S181" i="21"/>
  <c r="Q181" i="21"/>
  <c r="O181" i="21"/>
  <c r="M181" i="21"/>
  <c r="K181" i="21"/>
  <c r="X174" i="21"/>
  <c r="X176" i="21"/>
  <c r="X178" i="21"/>
  <c r="X180" i="21"/>
  <c r="X175" i="21"/>
  <c r="X177" i="21"/>
  <c r="X179" i="21"/>
  <c r="V174" i="21"/>
  <c r="V176" i="21"/>
  <c r="V178" i="21"/>
  <c r="V180" i="21"/>
  <c r="V175" i="21"/>
  <c r="V177" i="21"/>
  <c r="V179" i="21"/>
  <c r="R175" i="21"/>
  <c r="R177" i="21"/>
  <c r="R179" i="21"/>
  <c r="R174" i="21"/>
  <c r="R176" i="21"/>
  <c r="R178" i="21"/>
  <c r="R180" i="21"/>
  <c r="P175" i="21"/>
  <c r="P177" i="21"/>
  <c r="P179" i="21"/>
  <c r="P174" i="21"/>
  <c r="P176" i="21"/>
  <c r="P178" i="21"/>
  <c r="P180" i="21"/>
  <c r="N175" i="21"/>
  <c r="N177" i="21"/>
  <c r="N179" i="21"/>
  <c r="N174" i="21"/>
  <c r="N176" i="21"/>
  <c r="N178" i="21"/>
  <c r="N180" i="21"/>
  <c r="L175" i="21"/>
  <c r="L177" i="21"/>
  <c r="L179" i="21"/>
  <c r="L174" i="21"/>
  <c r="L176" i="21"/>
  <c r="L178" i="21"/>
  <c r="L180" i="21"/>
  <c r="J175" i="21"/>
  <c r="J177" i="21"/>
  <c r="J179" i="21"/>
  <c r="J181" i="21"/>
  <c r="J174" i="21"/>
  <c r="J176" i="21"/>
  <c r="J178" i="21"/>
  <c r="J180" i="21"/>
  <c r="H175" i="21"/>
  <c r="H177" i="21"/>
  <c r="H179" i="21"/>
  <c r="H181" i="21"/>
  <c r="H174" i="21"/>
  <c r="H176" i="21"/>
  <c r="H178" i="21"/>
  <c r="H180" i="21"/>
  <c r="F175" i="21"/>
  <c r="F177" i="21"/>
  <c r="F179" i="21"/>
  <c r="F181" i="21"/>
  <c r="F174" i="21"/>
  <c r="F176" i="21"/>
  <c r="F178" i="21"/>
  <c r="F180" i="21"/>
  <c r="D175" i="21"/>
  <c r="D177" i="21"/>
  <c r="D179" i="21"/>
  <c r="D181" i="21"/>
  <c r="D174" i="21"/>
  <c r="D176" i="21"/>
  <c r="D178" i="21"/>
  <c r="D180" i="21"/>
  <c r="X184" i="21"/>
  <c r="V184" i="21"/>
  <c r="S184" i="21"/>
  <c r="Q184" i="21"/>
  <c r="O184" i="21"/>
  <c r="M184" i="21"/>
  <c r="K184" i="21"/>
  <c r="I184" i="21"/>
  <c r="G184" i="21"/>
  <c r="E184" i="21"/>
  <c r="Y183" i="21"/>
  <c r="W183" i="21"/>
  <c r="U183" i="21"/>
  <c r="R183" i="21"/>
  <c r="P183" i="21"/>
  <c r="N183" i="21"/>
  <c r="L183" i="21"/>
  <c r="J183" i="21"/>
  <c r="H183" i="21"/>
  <c r="F183" i="21"/>
  <c r="D183" i="21"/>
  <c r="X182" i="21"/>
  <c r="V182" i="21"/>
  <c r="S182" i="21"/>
  <c r="Q182" i="21"/>
  <c r="O182" i="21"/>
  <c r="M182" i="21"/>
  <c r="K182" i="21"/>
  <c r="I182" i="21"/>
  <c r="G182" i="21"/>
  <c r="E182" i="21"/>
  <c r="Y181" i="21"/>
  <c r="W181" i="21"/>
  <c r="U181" i="21"/>
  <c r="R181" i="21"/>
  <c r="P181" i="21"/>
  <c r="N181" i="21"/>
  <c r="L181" i="21"/>
  <c r="O197" i="21"/>
  <c r="O198" i="21"/>
  <c r="O199" i="21"/>
  <c r="O200" i="21"/>
  <c r="O201" i="21"/>
  <c r="O202" i="21"/>
  <c r="O203" i="21"/>
  <c r="Q197" i="21"/>
  <c r="Q198" i="21"/>
  <c r="Q199" i="21"/>
  <c r="Q200" i="21"/>
  <c r="Q201" i="21"/>
  <c r="Q202" i="21"/>
  <c r="Q203" i="21"/>
  <c r="E94" i="22"/>
  <c r="E100" i="22"/>
  <c r="E98" i="22"/>
  <c r="E96" i="22"/>
  <c r="E102" i="22"/>
  <c r="E105" i="22"/>
  <c r="H95" i="22"/>
  <c r="H97" i="22"/>
  <c r="H99" i="22"/>
  <c r="H101" i="22"/>
  <c r="H103" i="22"/>
  <c r="K94" i="22"/>
  <c r="K96" i="22"/>
  <c r="K98" i="22"/>
  <c r="K100" i="22"/>
  <c r="K102" i="22"/>
  <c r="K105" i="22"/>
  <c r="N95" i="22"/>
  <c r="N97" i="22"/>
  <c r="N99" i="22"/>
  <c r="N101" i="22"/>
  <c r="N103" i="22"/>
  <c r="Q94" i="22"/>
  <c r="Q96" i="22"/>
  <c r="Q98" i="22"/>
  <c r="Q100" i="22"/>
  <c r="Q102" i="22"/>
  <c r="Q105" i="22"/>
  <c r="T95" i="22"/>
  <c r="T97" i="22"/>
  <c r="T99" i="22"/>
  <c r="T101" i="22"/>
  <c r="T103" i="22"/>
  <c r="E101" i="22"/>
  <c r="E99" i="22"/>
  <c r="E97" i="22"/>
  <c r="E95" i="22"/>
  <c r="H94" i="22"/>
  <c r="H96" i="22"/>
  <c r="H98" i="22"/>
  <c r="H100" i="22"/>
  <c r="H102" i="22"/>
  <c r="K95" i="22"/>
  <c r="K97" i="22"/>
  <c r="K99" i="22"/>
  <c r="K101" i="22"/>
  <c r="N94" i="22"/>
  <c r="N96" i="22"/>
  <c r="N98" i="22"/>
  <c r="N100" i="22"/>
  <c r="N102" i="22"/>
  <c r="Q95" i="22"/>
  <c r="Q97" i="22"/>
  <c r="Q99" i="22"/>
  <c r="Q101" i="22"/>
  <c r="T94" i="22"/>
  <c r="T96" i="22"/>
  <c r="T98" i="22"/>
  <c r="T100" i="22"/>
  <c r="T102" i="22"/>
  <c r="N197" i="21"/>
  <c r="P197" i="21"/>
  <c r="N198" i="21"/>
  <c r="P198" i="21"/>
  <c r="N199" i="21"/>
  <c r="P199" i="21"/>
  <c r="N200" i="21"/>
  <c r="P200" i="21"/>
  <c r="N201" i="21"/>
  <c r="P201" i="21"/>
  <c r="N202" i="21"/>
  <c r="P202" i="21"/>
  <c r="N203" i="21"/>
  <c r="P203" i="21"/>
  <c r="C174" i="21"/>
  <c r="C183" i="21"/>
  <c r="C181" i="21"/>
  <c r="C179" i="21"/>
  <c r="C177" i="21"/>
  <c r="C175" i="21"/>
  <c r="T106" i="21" l="1"/>
  <c r="G14" i="22"/>
  <c r="Q72" i="21"/>
  <c r="L56" i="21"/>
  <c r="L57" i="21"/>
  <c r="L58" i="21"/>
  <c r="L55" i="21"/>
  <c r="G5" i="17" l="1"/>
  <c r="G6" i="17"/>
  <c r="G7" i="17"/>
  <c r="G8" i="17"/>
  <c r="G9" i="17"/>
  <c r="G10" i="17"/>
  <c r="G11" i="17"/>
  <c r="G12" i="17"/>
  <c r="G13" i="17"/>
  <c r="G14" i="17"/>
  <c r="G15" i="17"/>
  <c r="G4" i="17"/>
  <c r="J4" i="17" s="1"/>
  <c r="K126" i="29" l="1"/>
  <c r="K118" i="29"/>
  <c r="K127" i="29"/>
  <c r="R118" i="29"/>
  <c r="K121" i="29"/>
  <c r="K119" i="29"/>
  <c r="H118" i="29"/>
  <c r="B126" i="29"/>
  <c r="O118" i="29"/>
  <c r="B127" i="29"/>
  <c r="H121" i="29"/>
  <c r="H119" i="29"/>
  <c r="M126" i="29"/>
  <c r="K120" i="29"/>
  <c r="M127" i="29"/>
  <c r="R120" i="29"/>
  <c r="R121" i="29"/>
  <c r="R119" i="29"/>
  <c r="H120" i="29"/>
  <c r="D126" i="29"/>
  <c r="O120" i="29"/>
  <c r="D127" i="29"/>
  <c r="O121" i="29"/>
  <c r="O119" i="29"/>
  <c r="B18" i="9"/>
  <c r="B9" i="9"/>
  <c r="C33" i="9"/>
  <c r="C8" i="9" s="1"/>
  <c r="D33" i="9"/>
  <c r="D7" i="9" s="1"/>
  <c r="E33" i="9"/>
  <c r="E8" i="9" s="1"/>
  <c r="F33" i="9"/>
  <c r="F7" i="9" s="1"/>
  <c r="G33" i="9"/>
  <c r="G8" i="9" s="1"/>
  <c r="H33" i="9"/>
  <c r="H7" i="9" s="1"/>
  <c r="I33" i="9"/>
  <c r="I8" i="9" s="1"/>
  <c r="J33" i="9"/>
  <c r="J7" i="9" s="1"/>
  <c r="K33" i="9"/>
  <c r="K8" i="9" s="1"/>
  <c r="L33" i="9"/>
  <c r="L7" i="9" s="1"/>
  <c r="M33" i="9"/>
  <c r="M8" i="9" s="1"/>
  <c r="S33" i="9"/>
  <c r="S13" i="9" s="1"/>
  <c r="R33" i="9"/>
  <c r="T33" i="9"/>
  <c r="T12" i="9" s="1"/>
  <c r="U33" i="9"/>
  <c r="V33" i="9"/>
  <c r="V12" i="9" s="1"/>
  <c r="W33" i="9"/>
  <c r="X33" i="9"/>
  <c r="X12" i="9" s="1"/>
  <c r="Y33" i="9"/>
  <c r="Z33" i="9"/>
  <c r="Z12" i="9" s="1"/>
  <c r="AA33" i="9"/>
  <c r="AB33" i="9"/>
  <c r="AB12" i="9" s="1"/>
  <c r="AC33" i="9"/>
  <c r="K52" i="9"/>
  <c r="K53" i="9"/>
  <c r="L53" i="9"/>
  <c r="M53" i="9"/>
  <c r="N53" i="9"/>
  <c r="O53" i="9"/>
  <c r="K54" i="9"/>
  <c r="L54" i="9"/>
  <c r="M54" i="9"/>
  <c r="N54" i="9"/>
  <c r="O54" i="9"/>
  <c r="K55" i="9"/>
  <c r="L55" i="9"/>
  <c r="M55" i="9"/>
  <c r="N55" i="9"/>
  <c r="O55" i="9"/>
  <c r="K56" i="9"/>
  <c r="L56" i="9"/>
  <c r="M56" i="9"/>
  <c r="N56" i="9"/>
  <c r="O56" i="9"/>
  <c r="K57" i="9"/>
  <c r="L57" i="9"/>
  <c r="M57" i="9"/>
  <c r="N57" i="9"/>
  <c r="O57" i="9"/>
  <c r="K58" i="9"/>
  <c r="L58" i="9"/>
  <c r="M58" i="9"/>
  <c r="N58" i="9"/>
  <c r="O58" i="9"/>
  <c r="K59" i="9"/>
  <c r="L59" i="9"/>
  <c r="M59" i="9"/>
  <c r="N59" i="9"/>
  <c r="O59" i="9"/>
  <c r="K60" i="9"/>
  <c r="L60" i="9"/>
  <c r="M60" i="9"/>
  <c r="N60" i="9"/>
  <c r="O60" i="9"/>
  <c r="K61" i="9"/>
  <c r="L61" i="9"/>
  <c r="M61" i="9"/>
  <c r="N61" i="9"/>
  <c r="O61" i="9"/>
  <c r="K62" i="9"/>
  <c r="L62" i="9"/>
  <c r="M62" i="9"/>
  <c r="N62" i="9"/>
  <c r="O62" i="9"/>
  <c r="L52" i="9"/>
  <c r="M52" i="9"/>
  <c r="N52" i="9"/>
  <c r="O52" i="9"/>
  <c r="C53" i="9"/>
  <c r="D53" i="9"/>
  <c r="E53" i="9"/>
  <c r="F53" i="9"/>
  <c r="G53" i="9"/>
  <c r="C54" i="9"/>
  <c r="D54" i="9"/>
  <c r="E54" i="9"/>
  <c r="F54" i="9"/>
  <c r="G54" i="9"/>
  <c r="C55" i="9"/>
  <c r="D55" i="9"/>
  <c r="E55" i="9"/>
  <c r="F55" i="9"/>
  <c r="G55" i="9"/>
  <c r="C56" i="9"/>
  <c r="D56" i="9"/>
  <c r="E56" i="9"/>
  <c r="F56" i="9"/>
  <c r="G56" i="9"/>
  <c r="C57" i="9"/>
  <c r="D57" i="9"/>
  <c r="E57" i="9"/>
  <c r="F57" i="9"/>
  <c r="G57" i="9"/>
  <c r="C58" i="9"/>
  <c r="D58" i="9"/>
  <c r="E58" i="9"/>
  <c r="F58" i="9"/>
  <c r="G58" i="9"/>
  <c r="C59" i="9"/>
  <c r="D59" i="9"/>
  <c r="E59" i="9"/>
  <c r="F59" i="9"/>
  <c r="G59" i="9"/>
  <c r="C60" i="9"/>
  <c r="D60" i="9"/>
  <c r="E60" i="9"/>
  <c r="F60" i="9"/>
  <c r="G60" i="9"/>
  <c r="C61" i="9"/>
  <c r="D61" i="9"/>
  <c r="E61" i="9"/>
  <c r="F61" i="9"/>
  <c r="G61" i="9"/>
  <c r="D52" i="9"/>
  <c r="E52" i="9"/>
  <c r="F52" i="9"/>
  <c r="G52" i="9"/>
  <c r="C52" i="9"/>
  <c r="AC7" i="9" l="1"/>
  <c r="AC9" i="9"/>
  <c r="AC10" i="9"/>
  <c r="AC8" i="9"/>
  <c r="AA7" i="9"/>
  <c r="AA9" i="9"/>
  <c r="AA10" i="9"/>
  <c r="AA8" i="9"/>
  <c r="Y7" i="9"/>
  <c r="Y9" i="9"/>
  <c r="Y10" i="9"/>
  <c r="Y8" i="9"/>
  <c r="W7" i="9"/>
  <c r="W9" i="9"/>
  <c r="W8" i="9"/>
  <c r="W10" i="9"/>
  <c r="W11" i="9"/>
  <c r="U7" i="9"/>
  <c r="U9" i="9"/>
  <c r="U8" i="9"/>
  <c r="U10" i="9"/>
  <c r="U11" i="9"/>
  <c r="R9" i="9"/>
  <c r="R7" i="9"/>
  <c r="R8" i="9"/>
  <c r="R16" i="9"/>
  <c r="R14" i="9"/>
  <c r="R12" i="9"/>
  <c r="R10" i="9"/>
  <c r="AB16" i="9"/>
  <c r="Z16" i="9"/>
  <c r="X16" i="9"/>
  <c r="V16" i="9"/>
  <c r="T16" i="9"/>
  <c r="AC15" i="9"/>
  <c r="AA15" i="9"/>
  <c r="Y15" i="9"/>
  <c r="W15" i="9"/>
  <c r="U15" i="9"/>
  <c r="S15" i="9"/>
  <c r="AB14" i="9"/>
  <c r="Z14" i="9"/>
  <c r="X14" i="9"/>
  <c r="V14" i="9"/>
  <c r="T14" i="9"/>
  <c r="AC13" i="9"/>
  <c r="AA13" i="9"/>
  <c r="Y13" i="9"/>
  <c r="W13" i="9"/>
  <c r="U13" i="9"/>
  <c r="AC11" i="9"/>
  <c r="Y11" i="9"/>
  <c r="AB8" i="9"/>
  <c r="AB11" i="9"/>
  <c r="AB7" i="9"/>
  <c r="AB9" i="9"/>
  <c r="AB10" i="9"/>
  <c r="Z8" i="9"/>
  <c r="Z11" i="9"/>
  <c r="Z7" i="9"/>
  <c r="Z9" i="9"/>
  <c r="Z10" i="9"/>
  <c r="X10" i="9"/>
  <c r="X8" i="9"/>
  <c r="X11" i="9"/>
  <c r="X7" i="9"/>
  <c r="X9" i="9"/>
  <c r="V8" i="9"/>
  <c r="V10" i="9"/>
  <c r="V11" i="9"/>
  <c r="V7" i="9"/>
  <c r="V9" i="9"/>
  <c r="T8" i="9"/>
  <c r="T10" i="9"/>
  <c r="T11" i="9"/>
  <c r="T7" i="9"/>
  <c r="T9" i="9"/>
  <c r="S7" i="9"/>
  <c r="S9" i="9"/>
  <c r="S8" i="9"/>
  <c r="S10" i="9"/>
  <c r="S11" i="9"/>
  <c r="R15" i="9"/>
  <c r="R13" i="9"/>
  <c r="R11" i="9"/>
  <c r="AC16" i="9"/>
  <c r="AA16" i="9"/>
  <c r="Y16" i="9"/>
  <c r="W16" i="9"/>
  <c r="U16" i="9"/>
  <c r="S16" i="9"/>
  <c r="AB15" i="9"/>
  <c r="Z15" i="9"/>
  <c r="X15" i="9"/>
  <c r="V15" i="9"/>
  <c r="T15" i="9"/>
  <c r="AC14" i="9"/>
  <c r="AA14" i="9"/>
  <c r="Y14" i="9"/>
  <c r="W14" i="9"/>
  <c r="U14" i="9"/>
  <c r="S14" i="9"/>
  <c r="AB13" i="9"/>
  <c r="Z13" i="9"/>
  <c r="X13" i="9"/>
  <c r="V13" i="9"/>
  <c r="T13" i="9"/>
  <c r="AC12" i="9"/>
  <c r="AA12" i="9"/>
  <c r="Y12" i="9"/>
  <c r="W12" i="9"/>
  <c r="U12" i="9"/>
  <c r="S12" i="9"/>
  <c r="AA11" i="9"/>
  <c r="B16" i="9"/>
  <c r="B13" i="9"/>
  <c r="B11" i="9"/>
  <c r="L16" i="9"/>
  <c r="J16" i="9"/>
  <c r="H16" i="9"/>
  <c r="F16" i="9"/>
  <c r="D16" i="9"/>
  <c r="M15" i="9"/>
  <c r="K15" i="9"/>
  <c r="I15" i="9"/>
  <c r="G15" i="9"/>
  <c r="E15" i="9"/>
  <c r="C15" i="9"/>
  <c r="L14" i="9"/>
  <c r="J14" i="9"/>
  <c r="H14" i="9"/>
  <c r="F14" i="9"/>
  <c r="D14" i="9"/>
  <c r="M13" i="9"/>
  <c r="K13" i="9"/>
  <c r="I13" i="9"/>
  <c r="G13" i="9"/>
  <c r="E13" i="9"/>
  <c r="C13" i="9"/>
  <c r="L12" i="9"/>
  <c r="J12" i="9"/>
  <c r="H12" i="9"/>
  <c r="F12" i="9"/>
  <c r="D12" i="9"/>
  <c r="M11" i="9"/>
  <c r="K11" i="9"/>
  <c r="I11" i="9"/>
  <c r="G11" i="9"/>
  <c r="E11" i="9"/>
  <c r="C11" i="9"/>
  <c r="L10" i="9"/>
  <c r="J10" i="9"/>
  <c r="H10" i="9"/>
  <c r="F10" i="9"/>
  <c r="D10" i="9"/>
  <c r="M9" i="9"/>
  <c r="K9" i="9"/>
  <c r="I9" i="9"/>
  <c r="G9" i="9"/>
  <c r="E9" i="9"/>
  <c r="C9" i="9"/>
  <c r="L8" i="9"/>
  <c r="J8" i="9"/>
  <c r="H8" i="9"/>
  <c r="F8" i="9"/>
  <c r="D8" i="9"/>
  <c r="M7" i="9"/>
  <c r="K7" i="9"/>
  <c r="I7" i="9"/>
  <c r="G7" i="9"/>
  <c r="E7" i="9"/>
  <c r="C7" i="9"/>
  <c r="B14" i="9"/>
  <c r="B7" i="9"/>
  <c r="B8" i="9"/>
  <c r="B15" i="9"/>
  <c r="B10" i="9"/>
  <c r="M16" i="9"/>
  <c r="K16" i="9"/>
  <c r="I16" i="9"/>
  <c r="G16" i="9"/>
  <c r="E16" i="9"/>
  <c r="C16" i="9"/>
  <c r="L15" i="9"/>
  <c r="J15" i="9"/>
  <c r="H15" i="9"/>
  <c r="F15" i="9"/>
  <c r="D15" i="9"/>
  <c r="M14" i="9"/>
  <c r="K14" i="9"/>
  <c r="I14" i="9"/>
  <c r="G14" i="9"/>
  <c r="E14" i="9"/>
  <c r="C14" i="9"/>
  <c r="L13" i="9"/>
  <c r="J13" i="9"/>
  <c r="H13" i="9"/>
  <c r="F13" i="9"/>
  <c r="D13" i="9"/>
  <c r="M12" i="9"/>
  <c r="K12" i="9"/>
  <c r="I12" i="9"/>
  <c r="G12" i="9"/>
  <c r="E12" i="9"/>
  <c r="C12" i="9"/>
  <c r="L11" i="9"/>
  <c r="J11" i="9"/>
  <c r="H11" i="9"/>
  <c r="F11" i="9"/>
  <c r="D11" i="9"/>
  <c r="M10" i="9"/>
  <c r="K10" i="9"/>
  <c r="I10" i="9"/>
  <c r="G10" i="9"/>
  <c r="E10" i="9"/>
  <c r="C10" i="9"/>
  <c r="L9" i="9"/>
  <c r="J9" i="9"/>
  <c r="H9" i="9"/>
  <c r="F9" i="9"/>
  <c r="D9" i="9"/>
  <c r="N61" i="6"/>
  <c r="L61" i="6"/>
  <c r="L78" i="6" l="1"/>
  <c r="N62" i="6"/>
  <c r="N63" i="6"/>
  <c r="N64" i="6"/>
  <c r="N65" i="6"/>
  <c r="N66" i="6"/>
  <c r="N67" i="6"/>
  <c r="N68" i="6"/>
  <c r="N69" i="6"/>
  <c r="N70" i="6"/>
  <c r="N71" i="6"/>
  <c r="N72" i="6"/>
  <c r="N73" i="6"/>
  <c r="N74" i="6"/>
  <c r="N75" i="6"/>
  <c r="N78" i="6"/>
  <c r="L62" i="6"/>
  <c r="L63" i="6"/>
  <c r="L64" i="6"/>
  <c r="L65" i="6"/>
  <c r="L66" i="6"/>
  <c r="L67" i="6"/>
  <c r="L68" i="6"/>
  <c r="L69" i="6"/>
  <c r="L70" i="6"/>
  <c r="L71" i="6"/>
  <c r="L72" i="6"/>
  <c r="L73" i="6"/>
  <c r="L74" i="6"/>
  <c r="L75" i="6"/>
  <c r="I57" i="4" l="1"/>
  <c r="H57" i="4"/>
  <c r="F57" i="4"/>
  <c r="Q200" i="7"/>
  <c r="M13" i="16" l="1"/>
  <c r="M12" i="16"/>
  <c r="L13" i="16"/>
  <c r="L12" i="16"/>
  <c r="K13" i="16"/>
  <c r="K12" i="16"/>
  <c r="J13" i="16"/>
  <c r="J12" i="16"/>
  <c r="I13" i="16"/>
  <c r="I12" i="16"/>
  <c r="H13" i="16"/>
  <c r="H12" i="16"/>
  <c r="G13" i="16"/>
  <c r="G12" i="16"/>
  <c r="F13" i="16"/>
  <c r="F12" i="16"/>
  <c r="E13" i="16"/>
  <c r="E12" i="16"/>
  <c r="D13" i="16"/>
  <c r="D12" i="16"/>
  <c r="C13" i="16"/>
  <c r="C12" i="16"/>
  <c r="B13" i="16"/>
  <c r="B12" i="16"/>
  <c r="D110" i="12" l="1"/>
  <c r="I126" i="16" l="1"/>
  <c r="Q36" i="3" l="1"/>
  <c r="E18" i="3" l="1"/>
  <c r="AG7" i="3" l="1"/>
  <c r="P36" i="29" s="1"/>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40" i="3"/>
  <c r="I36" i="29" s="1"/>
  <c r="P18" i="8" l="1"/>
  <c r="J18" i="8"/>
  <c r="P19" i="8"/>
  <c r="J19" i="8"/>
  <c r="E44" i="1" l="1"/>
  <c r="C44" i="1"/>
  <c r="E41" i="1"/>
  <c r="C41" i="1"/>
  <c r="E57" i="4" l="1"/>
  <c r="AB7" i="3"/>
  <c r="AB8" i="3"/>
  <c r="AB9" i="3"/>
  <c r="AB10" i="3"/>
  <c r="AB11" i="3"/>
  <c r="AB12" i="3"/>
  <c r="AB13" i="3"/>
  <c r="AB37" i="3"/>
  <c r="AB38" i="3"/>
  <c r="AB40" i="3"/>
  <c r="AB6" i="3"/>
  <c r="V7" i="3" l="1"/>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40" i="3"/>
  <c r="V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7" i="3"/>
  <c r="Q38" i="3"/>
  <c r="Q40" i="3"/>
  <c r="Q6" i="3"/>
  <c r="I32" i="29"/>
  <c r="Q32" i="29"/>
  <c r="E7" i="3"/>
  <c r="E8" i="3"/>
  <c r="I31" i="29" s="1"/>
  <c r="E9" i="3"/>
  <c r="Q31" i="29" s="1"/>
  <c r="E10" i="3"/>
  <c r="E11" i="3"/>
  <c r="E12" i="3"/>
  <c r="E13" i="3"/>
  <c r="E14" i="3"/>
  <c r="E15" i="3"/>
  <c r="E16" i="3"/>
  <c r="E17" i="3"/>
  <c r="E19" i="3"/>
  <c r="E20" i="3"/>
  <c r="E21" i="3"/>
  <c r="E22" i="3"/>
  <c r="E23" i="3"/>
  <c r="E24" i="3"/>
  <c r="E25" i="3"/>
  <c r="E26" i="3"/>
  <c r="E27" i="3"/>
  <c r="E28" i="3"/>
  <c r="E29" i="3"/>
  <c r="E30" i="3"/>
  <c r="E31" i="3"/>
  <c r="E32" i="3"/>
  <c r="E33" i="3"/>
  <c r="E34" i="3"/>
  <c r="E35" i="3"/>
  <c r="E36" i="3"/>
  <c r="E37" i="3"/>
  <c r="E38" i="3"/>
  <c r="E40" i="3"/>
  <c r="F5" i="2" l="1"/>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40" i="19"/>
  <c r="R6" i="19"/>
  <c r="N6" i="19" l="1"/>
  <c r="R66" i="29"/>
  <c r="R67" i="29"/>
  <c r="R68" i="29"/>
  <c r="R69" i="29"/>
  <c r="R70" i="29"/>
  <c r="J66" i="29"/>
  <c r="J67" i="29"/>
  <c r="J68" i="29"/>
  <c r="J69" i="29"/>
  <c r="J70" i="29"/>
  <c r="E50" i="3"/>
  <c r="F50" i="3"/>
  <c r="G50" i="3"/>
  <c r="H50" i="3"/>
  <c r="I50" i="3"/>
  <c r="J50" i="3"/>
  <c r="E51" i="3"/>
  <c r="F51" i="3"/>
  <c r="G51" i="3"/>
  <c r="H51" i="3"/>
  <c r="I51" i="3"/>
  <c r="J51" i="3"/>
  <c r="E52" i="3"/>
  <c r="F52" i="3"/>
  <c r="G52" i="3"/>
  <c r="H52" i="3"/>
  <c r="I52" i="3"/>
  <c r="J52" i="3"/>
  <c r="E53" i="3"/>
  <c r="F53" i="3"/>
  <c r="G53" i="3"/>
  <c r="H53" i="3"/>
  <c r="I53" i="3"/>
  <c r="J53" i="3"/>
  <c r="E54" i="3"/>
  <c r="F54" i="3"/>
  <c r="G54" i="3"/>
  <c r="H54" i="3"/>
  <c r="I54" i="3"/>
  <c r="J54" i="3"/>
  <c r="E55" i="3"/>
  <c r="F55" i="3"/>
  <c r="G55" i="3"/>
  <c r="H55" i="3"/>
  <c r="I55" i="3"/>
  <c r="J55" i="3"/>
  <c r="E56" i="3"/>
  <c r="F56" i="3"/>
  <c r="G56" i="3"/>
  <c r="H56" i="3"/>
  <c r="I56" i="3"/>
  <c r="J56" i="3"/>
  <c r="E57" i="3"/>
  <c r="F57" i="3"/>
  <c r="G57" i="3"/>
  <c r="H57" i="3"/>
  <c r="I57" i="3"/>
  <c r="J57" i="3"/>
  <c r="E58" i="3"/>
  <c r="F58" i="3"/>
  <c r="G58" i="3"/>
  <c r="H58" i="3"/>
  <c r="I58" i="3"/>
  <c r="J58" i="3"/>
  <c r="E59" i="3"/>
  <c r="F59" i="3"/>
  <c r="G59" i="3"/>
  <c r="H59" i="3"/>
  <c r="I59" i="3"/>
  <c r="J59" i="3"/>
  <c r="E60" i="3"/>
  <c r="F60" i="3"/>
  <c r="G60" i="3"/>
  <c r="H60" i="3"/>
  <c r="I60" i="3"/>
  <c r="J60" i="3"/>
  <c r="E61" i="3"/>
  <c r="F61" i="3"/>
  <c r="G61" i="3"/>
  <c r="H61" i="3"/>
  <c r="I61" i="3"/>
  <c r="J61" i="3"/>
  <c r="E62" i="3"/>
  <c r="F62" i="3"/>
  <c r="G62" i="3"/>
  <c r="H62" i="3"/>
  <c r="I62" i="3"/>
  <c r="J62" i="3"/>
  <c r="E63" i="3"/>
  <c r="F63" i="3"/>
  <c r="G63" i="3"/>
  <c r="H63" i="3"/>
  <c r="I63" i="3"/>
  <c r="J63" i="3"/>
  <c r="E64" i="3"/>
  <c r="F64" i="3"/>
  <c r="G64" i="3"/>
  <c r="H64" i="3"/>
  <c r="I64" i="3"/>
  <c r="J64" i="3"/>
  <c r="E65" i="3"/>
  <c r="F65" i="3"/>
  <c r="G65" i="3"/>
  <c r="H65" i="3"/>
  <c r="I65" i="3"/>
  <c r="J65" i="3"/>
  <c r="E66" i="3"/>
  <c r="F66" i="3"/>
  <c r="G66" i="3"/>
  <c r="H66" i="3"/>
  <c r="I66" i="3"/>
  <c r="J66" i="3"/>
  <c r="E67" i="3"/>
  <c r="F67" i="3"/>
  <c r="G67" i="3"/>
  <c r="H67" i="3"/>
  <c r="I67" i="3"/>
  <c r="J67" i="3"/>
  <c r="E68" i="3"/>
  <c r="F68" i="3"/>
  <c r="G68" i="3"/>
  <c r="H68" i="3"/>
  <c r="I68" i="3"/>
  <c r="J68" i="3"/>
  <c r="E69" i="3"/>
  <c r="F69" i="3"/>
  <c r="G69" i="3"/>
  <c r="H69" i="3"/>
  <c r="I69" i="3"/>
  <c r="J69" i="3"/>
  <c r="E70" i="3"/>
  <c r="F70" i="3"/>
  <c r="G70" i="3"/>
  <c r="H70" i="3"/>
  <c r="I70" i="3"/>
  <c r="J70" i="3"/>
  <c r="E71" i="3"/>
  <c r="F71" i="3"/>
  <c r="G71" i="3"/>
  <c r="H71" i="3"/>
  <c r="I71" i="3"/>
  <c r="J71" i="3"/>
  <c r="E72" i="3"/>
  <c r="F72" i="3"/>
  <c r="G72" i="3"/>
  <c r="H72" i="3"/>
  <c r="I72" i="3"/>
  <c r="J72" i="3"/>
  <c r="E73" i="3"/>
  <c r="F73" i="3"/>
  <c r="G73" i="3"/>
  <c r="H73" i="3"/>
  <c r="I73" i="3"/>
  <c r="J73" i="3"/>
  <c r="E74" i="3"/>
  <c r="F74" i="3"/>
  <c r="G74" i="3"/>
  <c r="H74" i="3"/>
  <c r="I74" i="3"/>
  <c r="J74" i="3"/>
  <c r="E75" i="3"/>
  <c r="F75" i="3"/>
  <c r="G75" i="3"/>
  <c r="H75" i="3"/>
  <c r="I75" i="3"/>
  <c r="J75" i="3"/>
  <c r="E76" i="3"/>
  <c r="F76" i="3"/>
  <c r="G76" i="3"/>
  <c r="H76" i="3"/>
  <c r="I76" i="3"/>
  <c r="J76" i="3"/>
  <c r="E77" i="3"/>
  <c r="F77" i="3"/>
  <c r="G77" i="3"/>
  <c r="H77" i="3"/>
  <c r="I77" i="3"/>
  <c r="J77" i="3"/>
  <c r="E78" i="3"/>
  <c r="F78" i="3"/>
  <c r="G78" i="3"/>
  <c r="H78" i="3"/>
  <c r="I78" i="3"/>
  <c r="J78" i="3"/>
  <c r="T45" i="29" s="1"/>
  <c r="E79" i="3"/>
  <c r="F79" i="3"/>
  <c r="G79" i="3"/>
  <c r="H79" i="3"/>
  <c r="I79" i="3"/>
  <c r="J79" i="3"/>
  <c r="E80" i="3"/>
  <c r="F80" i="3"/>
  <c r="G80" i="3"/>
  <c r="H80" i="3"/>
  <c r="I80" i="3"/>
  <c r="J80" i="3"/>
  <c r="E81" i="3"/>
  <c r="F81" i="3"/>
  <c r="G81" i="3"/>
  <c r="H81" i="3"/>
  <c r="I81" i="3"/>
  <c r="J81" i="3"/>
  <c r="E82" i="3"/>
  <c r="F82" i="3"/>
  <c r="G82" i="3"/>
  <c r="H82" i="3"/>
  <c r="I82" i="3"/>
  <c r="J82" i="3"/>
  <c r="E83" i="3"/>
  <c r="F83" i="3"/>
  <c r="G83" i="3"/>
  <c r="H83" i="3"/>
  <c r="I83" i="3"/>
  <c r="J83" i="3"/>
  <c r="E84" i="3"/>
  <c r="F84" i="3"/>
  <c r="G84" i="3"/>
  <c r="H84" i="3"/>
  <c r="I84" i="3"/>
  <c r="J84" i="3"/>
  <c r="E85" i="3"/>
  <c r="F85" i="3"/>
  <c r="G85" i="3"/>
  <c r="H85" i="3"/>
  <c r="I85" i="3"/>
  <c r="J85" i="3"/>
  <c r="E86" i="3"/>
  <c r="F86" i="3"/>
  <c r="G86" i="3"/>
  <c r="H86" i="3"/>
  <c r="I86" i="3"/>
  <c r="J86" i="3"/>
  <c r="E87" i="3"/>
  <c r="F87" i="3"/>
  <c r="G87" i="3"/>
  <c r="H87" i="3"/>
  <c r="I87" i="3"/>
  <c r="J87" i="3"/>
  <c r="E88" i="3"/>
  <c r="F88" i="3"/>
  <c r="G88" i="3"/>
  <c r="H88" i="3"/>
  <c r="I88" i="3"/>
  <c r="J88" i="3"/>
  <c r="E89" i="3"/>
  <c r="F89" i="3"/>
  <c r="G89" i="3"/>
  <c r="H89" i="3"/>
  <c r="I89" i="3"/>
  <c r="J89" i="3"/>
  <c r="E90" i="3"/>
  <c r="O47" i="29" s="1"/>
  <c r="F90" i="3"/>
  <c r="P47" i="29" s="1"/>
  <c r="G90" i="3"/>
  <c r="Q47" i="29" s="1"/>
  <c r="H90" i="3"/>
  <c r="R47" i="29" s="1"/>
  <c r="I90" i="3"/>
  <c r="S47" i="29" s="1"/>
  <c r="J90" i="3"/>
  <c r="T47" i="29" s="1"/>
  <c r="E91" i="3"/>
  <c r="F91" i="3"/>
  <c r="G91" i="3"/>
  <c r="H91" i="3"/>
  <c r="I91" i="3"/>
  <c r="J91" i="3"/>
  <c r="E92" i="3"/>
  <c r="O48" i="29" s="1"/>
  <c r="F92" i="3"/>
  <c r="P48" i="29" s="1"/>
  <c r="G92" i="3"/>
  <c r="Q48" i="29" s="1"/>
  <c r="H92" i="3"/>
  <c r="R48" i="29" s="1"/>
  <c r="I92" i="3"/>
  <c r="S48" i="29" s="1"/>
  <c r="J92" i="3"/>
  <c r="T48" i="29" s="1"/>
  <c r="E93" i="3"/>
  <c r="F93" i="3"/>
  <c r="G93" i="3"/>
  <c r="H93" i="3"/>
  <c r="I93" i="3"/>
  <c r="J93" i="3"/>
  <c r="E94" i="3"/>
  <c r="O46" i="29" s="1"/>
  <c r="F94" i="3"/>
  <c r="P46" i="29" s="1"/>
  <c r="G94" i="3"/>
  <c r="Q46" i="29" s="1"/>
  <c r="H94" i="3"/>
  <c r="R46" i="29" s="1"/>
  <c r="I94" i="3"/>
  <c r="S46" i="29" s="1"/>
  <c r="J94" i="3"/>
  <c r="T46" i="29" s="1"/>
  <c r="E95" i="3"/>
  <c r="F95" i="3"/>
  <c r="G95" i="3"/>
  <c r="H95" i="3"/>
  <c r="I95" i="3"/>
  <c r="J95" i="3"/>
  <c r="E96" i="3"/>
  <c r="O44" i="29" s="1"/>
  <c r="F96" i="3"/>
  <c r="P44" i="29" s="1"/>
  <c r="G96" i="3"/>
  <c r="Q44" i="29" s="1"/>
  <c r="H96" i="3"/>
  <c r="R44" i="29" s="1"/>
  <c r="I96" i="3"/>
  <c r="S44" i="29" s="1"/>
  <c r="J96" i="3"/>
  <c r="T44" i="29" s="1"/>
  <c r="E98" i="3"/>
  <c r="O43" i="29" s="1"/>
  <c r="F98" i="3"/>
  <c r="P43" i="29" s="1"/>
  <c r="G98" i="3"/>
  <c r="Q43" i="29" s="1"/>
  <c r="H98" i="3"/>
  <c r="R43" i="29" s="1"/>
  <c r="I98" i="3"/>
  <c r="S43" i="29" s="1"/>
  <c r="J98" i="3"/>
  <c r="T43" i="29" s="1"/>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N45" i="29" s="1"/>
  <c r="D79" i="3"/>
  <c r="D80" i="3"/>
  <c r="D81" i="3"/>
  <c r="D82" i="3"/>
  <c r="D83" i="3"/>
  <c r="D84" i="3"/>
  <c r="D85" i="3"/>
  <c r="D86" i="3"/>
  <c r="D87" i="3"/>
  <c r="D88" i="3"/>
  <c r="D89" i="3"/>
  <c r="D90" i="3"/>
  <c r="N47" i="29" s="1"/>
  <c r="D91" i="3"/>
  <c r="D92" i="3"/>
  <c r="N48" i="29" s="1"/>
  <c r="D93" i="3"/>
  <c r="D94" i="3"/>
  <c r="D95" i="3"/>
  <c r="D96" i="3"/>
  <c r="D98" i="3"/>
  <c r="N43" i="29" s="1"/>
  <c r="D50" i="3"/>
  <c r="I33" i="29"/>
  <c r="Q33" i="29"/>
  <c r="D101" i="3" l="1"/>
  <c r="N44" i="29"/>
  <c r="O45" i="29"/>
  <c r="S45" i="29"/>
  <c r="R45" i="29"/>
  <c r="Q45" i="29"/>
  <c r="N46" i="29"/>
  <c r="P45" i="29"/>
  <c r="D100" i="3"/>
  <c r="E40" i="2"/>
  <c r="F40" i="2"/>
  <c r="E41" i="2"/>
  <c r="F41" i="2"/>
  <c r="E42" i="2"/>
  <c r="F42" i="2"/>
  <c r="E43" i="2"/>
  <c r="F43" i="2"/>
  <c r="E44" i="2"/>
  <c r="F44" i="2"/>
  <c r="E45" i="2"/>
  <c r="F45" i="2"/>
  <c r="E46" i="2"/>
  <c r="F46" i="2"/>
  <c r="E47" i="2"/>
  <c r="F47" i="2"/>
  <c r="E48" i="2"/>
  <c r="F48" i="2"/>
  <c r="E49" i="2"/>
  <c r="F49" i="2"/>
  <c r="E50" i="2"/>
  <c r="F50" i="2"/>
  <c r="E51" i="2"/>
  <c r="F51" i="2"/>
  <c r="E52" i="2"/>
  <c r="F52" i="2"/>
  <c r="E53" i="2"/>
  <c r="F53" i="2"/>
  <c r="E54" i="2"/>
  <c r="F54" i="2"/>
  <c r="E55" i="2"/>
  <c r="F55" i="2"/>
  <c r="E56" i="2"/>
  <c r="F56" i="2"/>
  <c r="E57" i="2"/>
  <c r="F57" i="2"/>
  <c r="E58" i="2"/>
  <c r="F58" i="2"/>
  <c r="E59" i="2"/>
  <c r="F59" i="2"/>
  <c r="E60" i="2"/>
  <c r="F60" i="2"/>
  <c r="E61" i="2"/>
  <c r="F61" i="2"/>
  <c r="E62" i="2"/>
  <c r="F62" i="2"/>
  <c r="E63" i="2"/>
  <c r="F63" i="2"/>
  <c r="E64" i="2"/>
  <c r="F64"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9" i="2"/>
  <c r="F6" i="2"/>
  <c r="F7" i="2"/>
  <c r="E5" i="2"/>
  <c r="I45" i="17" l="1"/>
  <c r="G34" i="17"/>
  <c r="O57" i="17"/>
  <c r="O43" i="17"/>
  <c r="O39" i="17"/>
  <c r="G49" i="17"/>
  <c r="H49" i="17"/>
  <c r="G50" i="17"/>
  <c r="H50" i="17"/>
  <c r="G51" i="17"/>
  <c r="H51" i="17"/>
  <c r="G52" i="17"/>
  <c r="H52" i="17"/>
  <c r="G53" i="17"/>
  <c r="H53" i="17"/>
  <c r="G54" i="17"/>
  <c r="H54" i="17"/>
  <c r="G55" i="17"/>
  <c r="H55" i="17"/>
  <c r="G56" i="17"/>
  <c r="H56" i="17"/>
  <c r="G57" i="17"/>
  <c r="H57" i="17"/>
  <c r="G58" i="17"/>
  <c r="H58" i="17"/>
  <c r="G59" i="17"/>
  <c r="H59" i="17"/>
  <c r="G60" i="17"/>
  <c r="H60" i="17"/>
  <c r="G61" i="17"/>
  <c r="H61" i="17"/>
  <c r="G62" i="17"/>
  <c r="H62" i="17"/>
  <c r="H48" i="17"/>
  <c r="G48" i="17"/>
  <c r="H34" i="17"/>
  <c r="D18" i="9" l="1"/>
  <c r="E18" i="9"/>
  <c r="F18" i="9"/>
  <c r="G18" i="9"/>
  <c r="H18" i="9"/>
  <c r="I18" i="9"/>
  <c r="J18" i="9"/>
  <c r="K18" i="9"/>
  <c r="L18" i="9"/>
  <c r="M18" i="9"/>
  <c r="C36" i="10" l="1"/>
  <c r="D36" i="10"/>
  <c r="E36" i="10"/>
  <c r="F36" i="10"/>
  <c r="C37" i="10"/>
  <c r="D37" i="10"/>
  <c r="E37" i="10"/>
  <c r="F37" i="10"/>
  <c r="C38" i="10"/>
  <c r="D38" i="10"/>
  <c r="E38" i="10"/>
  <c r="F38" i="10"/>
  <c r="C39" i="10"/>
  <c r="D39" i="10"/>
  <c r="E39" i="10"/>
  <c r="F39" i="10"/>
  <c r="C40" i="10"/>
  <c r="D40" i="10"/>
  <c r="E40" i="10"/>
  <c r="F40" i="10"/>
  <c r="C41" i="10"/>
  <c r="D41" i="10"/>
  <c r="E41" i="10"/>
  <c r="F41" i="10"/>
  <c r="C42" i="10"/>
  <c r="D42" i="10"/>
  <c r="E42" i="10"/>
  <c r="F42" i="10"/>
  <c r="C43" i="10"/>
  <c r="D43" i="10"/>
  <c r="E43" i="10"/>
  <c r="F43" i="10"/>
  <c r="C44" i="10"/>
  <c r="D44" i="10"/>
  <c r="E44" i="10"/>
  <c r="F44" i="10"/>
  <c r="D35" i="10"/>
  <c r="E35" i="10"/>
  <c r="C35" i="10"/>
  <c r="R66" i="15" l="1"/>
  <c r="H235" i="11" l="1"/>
  <c r="F15" i="7" l="1"/>
  <c r="F13" i="7"/>
  <c r="P13" i="8"/>
  <c r="AI85" i="21" l="1"/>
  <c r="AI86" i="21"/>
  <c r="AI87" i="21"/>
  <c r="AI88" i="21"/>
  <c r="AI89" i="21"/>
  <c r="AI90" i="21"/>
  <c r="AI91" i="21"/>
  <c r="AI92" i="21"/>
  <c r="AI93" i="21"/>
  <c r="AI106" i="21"/>
  <c r="AI84" i="21"/>
  <c r="AH85" i="21"/>
  <c r="AH86" i="21"/>
  <c r="AH87" i="21"/>
  <c r="AH88" i="21"/>
  <c r="AH89" i="21"/>
  <c r="AH90" i="21"/>
  <c r="AH91" i="21"/>
  <c r="AH92" i="21"/>
  <c r="AH93" i="21"/>
  <c r="AH106" i="21"/>
  <c r="AH84" i="21"/>
  <c r="AG85" i="21"/>
  <c r="AG86" i="21"/>
  <c r="AG87" i="21"/>
  <c r="AG88" i="21"/>
  <c r="AG89" i="21"/>
  <c r="AG90" i="21"/>
  <c r="AG91" i="21"/>
  <c r="AG92" i="21"/>
  <c r="AG93" i="21"/>
  <c r="AG106" i="21"/>
  <c r="AG84" i="21"/>
  <c r="AF85" i="21"/>
  <c r="AF86" i="21"/>
  <c r="AF87" i="21"/>
  <c r="AF88" i="21"/>
  <c r="AF89" i="21"/>
  <c r="AF90" i="21"/>
  <c r="AF91" i="21"/>
  <c r="AF92" i="21"/>
  <c r="AF93" i="21"/>
  <c r="AF106" i="21"/>
  <c r="AF84" i="21"/>
  <c r="T85" i="21"/>
  <c r="T86" i="21"/>
  <c r="T87" i="21"/>
  <c r="T88" i="21"/>
  <c r="T89" i="21"/>
  <c r="T90" i="21"/>
  <c r="T91" i="21"/>
  <c r="T92" i="21"/>
  <c r="T93" i="21"/>
  <c r="T84" i="21"/>
  <c r="S85" i="21"/>
  <c r="S86" i="21"/>
  <c r="S87" i="21"/>
  <c r="S88" i="21"/>
  <c r="S89" i="21"/>
  <c r="S90" i="21"/>
  <c r="S91" i="21"/>
  <c r="S92" i="21"/>
  <c r="S93" i="21"/>
  <c r="S106" i="21"/>
  <c r="S84" i="21"/>
  <c r="R85" i="21"/>
  <c r="R86" i="21"/>
  <c r="R87" i="21"/>
  <c r="R88" i="21"/>
  <c r="R89" i="21"/>
  <c r="R90" i="21"/>
  <c r="R91" i="21"/>
  <c r="R92" i="21"/>
  <c r="R93" i="21"/>
  <c r="R106" i="21"/>
  <c r="R84" i="21"/>
  <c r="Q85" i="21"/>
  <c r="Q86" i="21"/>
  <c r="Q87" i="21"/>
  <c r="Q88" i="21"/>
  <c r="Q89" i="21"/>
  <c r="Q90" i="21"/>
  <c r="Q91" i="21"/>
  <c r="Q92" i="21"/>
  <c r="Q93" i="21"/>
  <c r="Q106" i="21"/>
  <c r="Q84" i="21"/>
  <c r="A9" i="26" l="1"/>
  <c r="A10" i="26"/>
  <c r="A11" i="26"/>
  <c r="A13" i="26"/>
  <c r="M16" i="7"/>
  <c r="F29" i="8" l="1"/>
  <c r="F28" i="8"/>
  <c r="Q212" i="7"/>
  <c r="C198" i="21" l="1"/>
  <c r="D198" i="21"/>
  <c r="E198" i="21"/>
  <c r="F198" i="21"/>
  <c r="G198" i="21"/>
  <c r="H198" i="21"/>
  <c r="I198" i="21"/>
  <c r="J198" i="21"/>
  <c r="K198" i="21"/>
  <c r="L198" i="21"/>
  <c r="M198" i="21"/>
  <c r="C199" i="21"/>
  <c r="D199" i="21"/>
  <c r="E199" i="21"/>
  <c r="F199" i="21"/>
  <c r="G199" i="21"/>
  <c r="H199" i="21"/>
  <c r="I199" i="21"/>
  <c r="J199" i="21"/>
  <c r="K199" i="21"/>
  <c r="L199" i="21"/>
  <c r="M199" i="21"/>
  <c r="C200" i="21"/>
  <c r="D200" i="21"/>
  <c r="E200" i="21"/>
  <c r="F200" i="21"/>
  <c r="G200" i="21"/>
  <c r="H200" i="21"/>
  <c r="I200" i="21"/>
  <c r="J200" i="21"/>
  <c r="K200" i="21"/>
  <c r="L200" i="21"/>
  <c r="M200" i="21"/>
  <c r="C201" i="21"/>
  <c r="D201" i="21"/>
  <c r="E201" i="21"/>
  <c r="F201" i="21"/>
  <c r="G201" i="21"/>
  <c r="H201" i="21"/>
  <c r="I201" i="21"/>
  <c r="J201" i="21"/>
  <c r="K201" i="21"/>
  <c r="L201" i="21"/>
  <c r="M201" i="21"/>
  <c r="C202" i="21"/>
  <c r="D202" i="21"/>
  <c r="E202" i="21"/>
  <c r="F202" i="21"/>
  <c r="G202" i="21"/>
  <c r="H202" i="21"/>
  <c r="I202" i="21"/>
  <c r="J202" i="21"/>
  <c r="K202" i="21"/>
  <c r="L202" i="21"/>
  <c r="M202" i="21"/>
  <c r="C203" i="21"/>
  <c r="D203" i="21"/>
  <c r="E203" i="21"/>
  <c r="F203" i="21"/>
  <c r="G203" i="21"/>
  <c r="H203" i="21"/>
  <c r="I203" i="21"/>
  <c r="J203" i="21"/>
  <c r="K203" i="21"/>
  <c r="L203" i="21"/>
  <c r="M203" i="21"/>
  <c r="C204" i="21"/>
  <c r="D204" i="21"/>
  <c r="E204" i="21"/>
  <c r="F204" i="21"/>
  <c r="G204" i="21"/>
  <c r="H204" i="21"/>
  <c r="I204" i="21"/>
  <c r="J204" i="21"/>
  <c r="K204" i="21"/>
  <c r="L204" i="21"/>
  <c r="M204" i="21"/>
  <c r="E197" i="21"/>
  <c r="F197" i="21"/>
  <c r="G197" i="21"/>
  <c r="H197" i="21"/>
  <c r="I197" i="21"/>
  <c r="J197" i="21"/>
  <c r="K197" i="21"/>
  <c r="L197" i="21"/>
  <c r="M197" i="21"/>
  <c r="A159" i="21" l="1"/>
  <c r="Q11" i="11" l="1"/>
  <c r="O57" i="4"/>
  <c r="P57" i="4"/>
  <c r="Q57" i="4"/>
  <c r="R57" i="4"/>
  <c r="S57" i="4"/>
  <c r="T57" i="4"/>
  <c r="U57" i="4"/>
  <c r="V57" i="4"/>
  <c r="W57" i="4"/>
  <c r="X57" i="4"/>
  <c r="Y57" i="4"/>
  <c r="Z57" i="4"/>
  <c r="AA57" i="4"/>
  <c r="AC57" i="4"/>
  <c r="Q214" i="7" l="1"/>
  <c r="Q213" i="7"/>
  <c r="D57" i="4"/>
  <c r="Q202" i="7" s="1"/>
  <c r="C57" i="4"/>
  <c r="Q201" i="7" s="1"/>
  <c r="S94" i="24" l="1"/>
  <c r="Q94" i="24"/>
  <c r="N94" i="24"/>
  <c r="L94" i="24"/>
  <c r="M44" i="15"/>
  <c r="E44" i="15"/>
  <c r="B41" i="8" l="1"/>
  <c r="S52" i="22" l="1"/>
  <c r="O53" i="22"/>
  <c r="O52" i="22"/>
  <c r="G53" i="22"/>
  <c r="K52" i="22"/>
  <c r="G52" i="22"/>
  <c r="I75" i="16"/>
  <c r="O75" i="16"/>
  <c r="J115" i="21" l="1"/>
  <c r="J116" i="21"/>
  <c r="J117" i="21"/>
  <c r="J118" i="21"/>
  <c r="J119" i="21"/>
  <c r="J120" i="21"/>
  <c r="J121" i="21"/>
  <c r="J122" i="21"/>
  <c r="J123" i="21"/>
  <c r="I6" i="11" l="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P91" i="16"/>
  <c r="H216" i="11"/>
  <c r="H217" i="11"/>
  <c r="H218" i="11"/>
  <c r="H219" i="11"/>
  <c r="H220" i="11"/>
  <c r="H221" i="11"/>
  <c r="H222" i="11"/>
  <c r="H223" i="11"/>
  <c r="H224" i="11"/>
  <c r="H225" i="11"/>
  <c r="H226" i="11"/>
  <c r="H227" i="11"/>
  <c r="H228" i="11"/>
  <c r="H229" i="11"/>
  <c r="H230" i="11"/>
  <c r="H231" i="11"/>
  <c r="H232" i="11"/>
  <c r="H233" i="11"/>
  <c r="H234"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F80" i="16" l="1"/>
  <c r="A81" i="16"/>
  <c r="I81" i="16"/>
  <c r="F82" i="16"/>
  <c r="A83" i="16"/>
  <c r="I83" i="16"/>
  <c r="F84" i="16"/>
  <c r="A87" i="16"/>
  <c r="I87" i="16"/>
  <c r="F88" i="16"/>
  <c r="A89" i="16"/>
  <c r="I89" i="16"/>
  <c r="F90" i="16"/>
  <c r="A91" i="16"/>
  <c r="I91" i="16"/>
  <c r="P80" i="16"/>
  <c r="K81" i="16"/>
  <c r="S81" i="16"/>
  <c r="P82" i="16"/>
  <c r="K83" i="16"/>
  <c r="S83" i="16"/>
  <c r="P84" i="16"/>
  <c r="K87" i="16"/>
  <c r="S87" i="16"/>
  <c r="P88" i="16"/>
  <c r="K89" i="16"/>
  <c r="S89" i="16"/>
  <c r="P90" i="16"/>
  <c r="K91" i="16"/>
  <c r="S91" i="16"/>
  <c r="A80" i="16"/>
  <c r="I80" i="16"/>
  <c r="F81" i="16"/>
  <c r="A82" i="16"/>
  <c r="I82" i="16"/>
  <c r="F83" i="16"/>
  <c r="A84" i="16"/>
  <c r="I84" i="16"/>
  <c r="F87" i="16"/>
  <c r="A88" i="16"/>
  <c r="I88" i="16"/>
  <c r="F89" i="16"/>
  <c r="A90" i="16"/>
  <c r="I90" i="16"/>
  <c r="F91" i="16"/>
  <c r="K80" i="16"/>
  <c r="S80" i="16"/>
  <c r="P81" i="16"/>
  <c r="K82" i="16"/>
  <c r="S82" i="16"/>
  <c r="P83" i="16"/>
  <c r="K84" i="16"/>
  <c r="S84" i="16"/>
  <c r="P87" i="16"/>
  <c r="S88" i="16"/>
  <c r="P89" i="16"/>
  <c r="K90" i="16"/>
  <c r="S90" i="16"/>
  <c r="Q6" i="11"/>
  <c r="Q7" i="11"/>
  <c r="Q8" i="11"/>
  <c r="Q9" i="11"/>
  <c r="Q10" i="11"/>
  <c r="Q12" i="11"/>
  <c r="Q13" i="11"/>
  <c r="Q14" i="11"/>
  <c r="Q15" i="11"/>
  <c r="Q16" i="11"/>
  <c r="Q17" i="11"/>
  <c r="Q18" i="11"/>
  <c r="Q19" i="11"/>
  <c r="L75" i="16" l="1"/>
  <c r="C75" i="16"/>
  <c r="K75" i="16" s="1"/>
  <c r="N75" i="16"/>
  <c r="Q75" i="16" s="1"/>
  <c r="R75" i="16"/>
  <c r="G42" i="8"/>
  <c r="F42" i="8"/>
  <c r="E42" i="8"/>
  <c r="D42" i="8"/>
  <c r="C42" i="8"/>
  <c r="B42" i="8"/>
  <c r="O43" i="8" l="1"/>
  <c r="O46" i="8"/>
  <c r="O45" i="8"/>
  <c r="O48" i="8"/>
  <c r="O44" i="8"/>
  <c r="O47" i="8"/>
  <c r="O49" i="8"/>
  <c r="K132" i="16" l="1"/>
  <c r="L132" i="16"/>
  <c r="M132" i="16"/>
  <c r="O132" i="16"/>
  <c r="P132" i="16"/>
  <c r="P131" i="16"/>
  <c r="O131" i="16"/>
  <c r="K131" i="16"/>
  <c r="M131" i="16"/>
  <c r="L131" i="16"/>
  <c r="O127" i="16"/>
  <c r="L127" i="16"/>
  <c r="I127" i="16"/>
  <c r="F127" i="16"/>
  <c r="G127" i="16"/>
  <c r="H127" i="16"/>
  <c r="J127" i="16"/>
  <c r="K127" i="16"/>
  <c r="M127" i="16"/>
  <c r="N127" i="16"/>
  <c r="P127" i="16"/>
  <c r="Q127" i="16"/>
  <c r="O126" i="16"/>
  <c r="Q126" i="16"/>
  <c r="P126" i="16"/>
  <c r="L126" i="16"/>
  <c r="N126" i="16"/>
  <c r="M126" i="16"/>
  <c r="K126" i="16"/>
  <c r="J126" i="16"/>
  <c r="F126" i="16"/>
  <c r="H126" i="16"/>
  <c r="G126" i="16"/>
  <c r="I12" i="1"/>
  <c r="S101" i="24" l="1"/>
  <c r="Q101" i="24"/>
  <c r="S100" i="24"/>
  <c r="Q100" i="24"/>
  <c r="S99" i="24"/>
  <c r="Q99" i="24"/>
  <c r="S98" i="24"/>
  <c r="Q98" i="24"/>
  <c r="S97" i="24"/>
  <c r="Q97" i="24"/>
  <c r="S96" i="24"/>
  <c r="Q96" i="24"/>
  <c r="S95" i="24"/>
  <c r="Q95" i="24"/>
  <c r="S93" i="24"/>
  <c r="Q93" i="24"/>
  <c r="S92" i="24"/>
  <c r="Q92" i="24"/>
  <c r="S91" i="24"/>
  <c r="Q91" i="24"/>
  <c r="S90" i="24"/>
  <c r="Q90" i="24"/>
  <c r="S89" i="24"/>
  <c r="Q89" i="24"/>
  <c r="S88" i="24"/>
  <c r="Q88" i="24"/>
  <c r="S87" i="24"/>
  <c r="Q87" i="24"/>
  <c r="S86" i="24"/>
  <c r="Q86" i="24"/>
  <c r="S85" i="24"/>
  <c r="Q85" i="24"/>
  <c r="S84" i="24"/>
  <c r="Q84" i="24"/>
  <c r="S83" i="24"/>
  <c r="Q83" i="24"/>
  <c r="S82" i="24"/>
  <c r="Q82" i="24"/>
  <c r="S81" i="24"/>
  <c r="Q81" i="24"/>
  <c r="S80" i="24"/>
  <c r="Q80" i="24"/>
  <c r="S79" i="24"/>
  <c r="Q79" i="24"/>
  <c r="S78" i="24"/>
  <c r="Q78" i="24"/>
  <c r="S77" i="24"/>
  <c r="Q77" i="24"/>
  <c r="S76" i="24"/>
  <c r="Q76" i="24"/>
  <c r="S75" i="24"/>
  <c r="Q75" i="24"/>
  <c r="S74" i="24"/>
  <c r="Q74" i="24"/>
  <c r="S73" i="24"/>
  <c r="Q73" i="24"/>
  <c r="S72" i="24"/>
  <c r="Q72" i="24"/>
  <c r="S71" i="24"/>
  <c r="Q71" i="24"/>
  <c r="S70" i="24"/>
  <c r="Q70" i="24"/>
  <c r="S69" i="24"/>
  <c r="Q69" i="24"/>
  <c r="S68" i="24"/>
  <c r="Q68" i="24"/>
  <c r="S67" i="24"/>
  <c r="Q67" i="24"/>
  <c r="S66" i="24"/>
  <c r="Q66" i="24"/>
  <c r="S65" i="24"/>
  <c r="Q65" i="24"/>
  <c r="S64" i="24"/>
  <c r="Q64" i="24"/>
  <c r="N101" i="24"/>
  <c r="L101" i="24"/>
  <c r="N100" i="24"/>
  <c r="L100" i="24"/>
  <c r="N99" i="24"/>
  <c r="L99" i="24"/>
  <c r="N98" i="24"/>
  <c r="L98" i="24"/>
  <c r="N97" i="24"/>
  <c r="L97" i="24"/>
  <c r="N96" i="24"/>
  <c r="L96" i="24"/>
  <c r="N95" i="24"/>
  <c r="L95" i="24"/>
  <c r="N93" i="24"/>
  <c r="L93" i="24"/>
  <c r="N92" i="24"/>
  <c r="L92" i="24"/>
  <c r="N91" i="24"/>
  <c r="L91" i="24"/>
  <c r="N90" i="24"/>
  <c r="L90" i="24"/>
  <c r="N89" i="24"/>
  <c r="L89" i="24"/>
  <c r="N88" i="24"/>
  <c r="L88" i="24"/>
  <c r="N87" i="24"/>
  <c r="L87" i="24"/>
  <c r="N86" i="24"/>
  <c r="L86" i="24"/>
  <c r="N85" i="24"/>
  <c r="L85" i="24"/>
  <c r="N84" i="24"/>
  <c r="L84" i="24"/>
  <c r="N83" i="24"/>
  <c r="L83" i="24"/>
  <c r="N82" i="24"/>
  <c r="L82" i="24"/>
  <c r="N81" i="24"/>
  <c r="L81" i="24"/>
  <c r="N80" i="24"/>
  <c r="L80" i="24"/>
  <c r="N79" i="24"/>
  <c r="L79" i="24"/>
  <c r="N78" i="24"/>
  <c r="L78" i="24"/>
  <c r="N77" i="24"/>
  <c r="L77" i="24"/>
  <c r="N76" i="24"/>
  <c r="L76" i="24"/>
  <c r="N75" i="24"/>
  <c r="L75" i="24"/>
  <c r="N74" i="24"/>
  <c r="L74" i="24"/>
  <c r="N73" i="24"/>
  <c r="L73" i="24"/>
  <c r="N72" i="24"/>
  <c r="L72" i="24"/>
  <c r="N71" i="24"/>
  <c r="L71" i="24"/>
  <c r="N70" i="24"/>
  <c r="L70" i="24"/>
  <c r="N69" i="24"/>
  <c r="L69" i="24"/>
  <c r="N68" i="24"/>
  <c r="L68" i="24"/>
  <c r="N67" i="24"/>
  <c r="L67" i="24"/>
  <c r="N66" i="24"/>
  <c r="L66" i="24"/>
  <c r="N65" i="24"/>
  <c r="L65" i="24"/>
  <c r="N64" i="24"/>
  <c r="L64" i="24"/>
  <c r="J75" i="15"/>
  <c r="J74" i="15"/>
  <c r="A75" i="15"/>
  <c r="A74" i="15"/>
  <c r="N75" i="15"/>
  <c r="M75" i="15"/>
  <c r="L75" i="15"/>
  <c r="K75" i="15"/>
  <c r="E75" i="15"/>
  <c r="D75" i="15"/>
  <c r="C75" i="15"/>
  <c r="B75" i="15"/>
  <c r="K74" i="15"/>
  <c r="B74" i="15"/>
  <c r="N74" i="15"/>
  <c r="M74" i="15"/>
  <c r="L74" i="15"/>
  <c r="C74" i="15"/>
  <c r="D74" i="15"/>
  <c r="E74" i="15"/>
  <c r="R69" i="15"/>
  <c r="R68" i="15"/>
  <c r="R67" i="15"/>
  <c r="K69" i="15"/>
  <c r="K68" i="15"/>
  <c r="K67" i="15"/>
  <c r="K66" i="15"/>
  <c r="O69" i="15"/>
  <c r="O68" i="15"/>
  <c r="O67" i="15"/>
  <c r="O66" i="15"/>
  <c r="H69" i="15"/>
  <c r="H68" i="15"/>
  <c r="H67" i="15"/>
  <c r="H66" i="15"/>
  <c r="N37" i="15"/>
  <c r="F37" i="15"/>
  <c r="S13" i="8"/>
  <c r="M13" i="8"/>
  <c r="J13" i="8"/>
  <c r="S23" i="8"/>
  <c r="M23" i="8"/>
  <c r="J23" i="8"/>
  <c r="A76" i="7"/>
  <c r="R18" i="1"/>
  <c r="L18" i="1"/>
  <c r="O18" i="1"/>
  <c r="I18" i="1"/>
  <c r="P21" i="1"/>
  <c r="J21" i="1"/>
  <c r="I20" i="1"/>
  <c r="A13" i="22" l="1"/>
  <c r="E106" i="22"/>
  <c r="H106" i="22"/>
  <c r="K106" i="22"/>
  <c r="N106" i="22"/>
  <c r="Q106" i="22"/>
  <c r="A188" i="21"/>
  <c r="A160" i="21"/>
  <c r="A161" i="21"/>
  <c r="A162" i="21"/>
  <c r="A163" i="21"/>
  <c r="A164" i="21"/>
  <c r="A165" i="21"/>
  <c r="A166" i="21"/>
  <c r="A167" i="21"/>
  <c r="A168" i="21"/>
  <c r="A169" i="21"/>
  <c r="A193" i="21" l="1"/>
  <c r="A187" i="21"/>
  <c r="A191" i="21"/>
  <c r="A189" i="21"/>
  <c r="A194" i="21"/>
  <c r="A192" i="21"/>
  <c r="A190" i="21"/>
  <c r="V63" i="21"/>
  <c r="V64" i="21"/>
  <c r="V65" i="21"/>
  <c r="V67" i="21"/>
  <c r="V68" i="21"/>
  <c r="V69" i="21"/>
  <c r="V70" i="21"/>
  <c r="V71" i="21"/>
  <c r="V72" i="21"/>
  <c r="V73" i="21"/>
  <c r="V74" i="21"/>
  <c r="V75" i="21"/>
  <c r="V76" i="21"/>
  <c r="V56" i="21"/>
  <c r="V57" i="21"/>
  <c r="V58" i="21"/>
  <c r="V59" i="21"/>
  <c r="Q53" i="22" s="1"/>
  <c r="V60" i="21"/>
  <c r="V55" i="21"/>
  <c r="I53" i="22" s="1"/>
  <c r="Q52" i="22"/>
  <c r="S49" i="22"/>
  <c r="O49" i="22"/>
  <c r="S48" i="22"/>
  <c r="O48" i="22"/>
  <c r="K48" i="22"/>
  <c r="K49" i="22"/>
  <c r="G49" i="22"/>
  <c r="G48" i="22"/>
  <c r="Q56" i="21"/>
  <c r="Q57" i="21"/>
  <c r="Q58" i="21"/>
  <c r="Q59" i="21"/>
  <c r="Q60" i="21"/>
  <c r="Q63" i="21"/>
  <c r="Q64" i="21"/>
  <c r="Q65" i="21"/>
  <c r="Q67" i="21"/>
  <c r="Q68" i="21"/>
  <c r="Q69" i="21"/>
  <c r="Q70" i="21"/>
  <c r="Q71" i="21"/>
  <c r="Q73" i="21"/>
  <c r="Q74" i="21"/>
  <c r="Q75" i="21"/>
  <c r="Q76" i="21"/>
  <c r="Q55" i="21"/>
  <c r="I49" i="22" l="1"/>
  <c r="I52" i="22"/>
  <c r="Q49" i="22"/>
  <c r="T56" i="21" l="1"/>
  <c r="T57" i="21"/>
  <c r="T58" i="21"/>
  <c r="T59" i="21"/>
  <c r="T60" i="21"/>
  <c r="T63" i="21"/>
  <c r="T64" i="21"/>
  <c r="T65" i="21"/>
  <c r="T67" i="21"/>
  <c r="T68" i="21"/>
  <c r="T69" i="21"/>
  <c r="T70" i="21"/>
  <c r="T71" i="21"/>
  <c r="T72" i="21"/>
  <c r="T73" i="21"/>
  <c r="T74" i="21"/>
  <c r="T75" i="21"/>
  <c r="T76" i="21"/>
  <c r="T55" i="21"/>
  <c r="K53" i="22" s="1"/>
  <c r="S53" i="22" l="1"/>
  <c r="I48" i="22" l="1"/>
  <c r="Q48" i="22"/>
  <c r="A14" i="22"/>
  <c r="P14" i="22"/>
  <c r="M14" i="22"/>
  <c r="J14" i="22"/>
  <c r="P13" i="22"/>
  <c r="M13" i="22"/>
  <c r="J13" i="22"/>
  <c r="G13" i="22"/>
  <c r="L16" i="17"/>
  <c r="L5" i="17"/>
  <c r="L6" i="17"/>
  <c r="L7" i="17"/>
  <c r="L8" i="17"/>
  <c r="L9" i="17"/>
  <c r="L11" i="17"/>
  <c r="L12" i="17"/>
  <c r="L13" i="17"/>
  <c r="L14" i="17"/>
  <c r="L15" i="17"/>
  <c r="H4" i="17"/>
  <c r="J114" i="21"/>
  <c r="L10" i="17" l="1"/>
  <c r="J10" i="17"/>
  <c r="L4" i="17"/>
  <c r="A72" i="20"/>
  <c r="B72" i="20"/>
  <c r="C72" i="20"/>
  <c r="D72" i="20"/>
  <c r="E72" i="20"/>
  <c r="F72" i="20"/>
  <c r="B97" i="20" l="1"/>
  <c r="B96" i="20"/>
  <c r="B95" i="20"/>
  <c r="B94" i="20"/>
  <c r="B93" i="20"/>
  <c r="V6" i="19"/>
  <c r="A97" i="20"/>
  <c r="A96" i="20"/>
  <c r="A95" i="20"/>
  <c r="A94" i="20"/>
  <c r="A93" i="20"/>
  <c r="F81" i="20"/>
  <c r="E81" i="20"/>
  <c r="D81" i="20"/>
  <c r="C81" i="20"/>
  <c r="B81" i="20"/>
  <c r="A81" i="20"/>
  <c r="P63" i="20"/>
  <c r="P62" i="20"/>
  <c r="K63" i="20"/>
  <c r="K62" i="20"/>
  <c r="F63" i="20"/>
  <c r="F62" i="20"/>
  <c r="A63" i="20"/>
  <c r="A62" i="20"/>
  <c r="T7" i="19"/>
  <c r="T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40" i="19"/>
  <c r="T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40"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40" i="19"/>
  <c r="J6" i="19"/>
  <c r="L36" i="18"/>
  <c r="P48" i="20" s="1"/>
  <c r="A39" i="20"/>
  <c r="A38" i="20"/>
  <c r="K5" i="17"/>
  <c r="K6" i="17"/>
  <c r="K7" i="17"/>
  <c r="K8" i="17"/>
  <c r="K9" i="17"/>
  <c r="K10" i="17"/>
  <c r="K11" i="17"/>
  <c r="K12" i="17"/>
  <c r="K13" i="17"/>
  <c r="K14" i="17"/>
  <c r="K15" i="17"/>
  <c r="K16" i="17"/>
  <c r="K4" i="17"/>
  <c r="J5" i="17"/>
  <c r="J6" i="17"/>
  <c r="J7" i="17"/>
  <c r="J8" i="17"/>
  <c r="J9" i="17"/>
  <c r="J11" i="17"/>
  <c r="J12" i="17"/>
  <c r="J13" i="17"/>
  <c r="J14" i="17"/>
  <c r="J15" i="17"/>
  <c r="J16" i="17"/>
  <c r="H14" i="20"/>
  <c r="H15" i="20"/>
  <c r="H35" i="17"/>
  <c r="Q14" i="20" s="1"/>
  <c r="H36" i="17"/>
  <c r="H37" i="17"/>
  <c r="H38" i="17"/>
  <c r="H39" i="17"/>
  <c r="Q15" i="20" s="1"/>
  <c r="H40" i="17"/>
  <c r="H41" i="17"/>
  <c r="H42" i="17"/>
  <c r="H43" i="17"/>
  <c r="H44" i="17"/>
  <c r="H45" i="17"/>
  <c r="H46" i="17"/>
  <c r="G35" i="17"/>
  <c r="G36" i="17"/>
  <c r="G37" i="17"/>
  <c r="G38" i="17"/>
  <c r="G39" i="17"/>
  <c r="K15" i="20" s="1"/>
  <c r="G40" i="17"/>
  <c r="G41" i="17"/>
  <c r="G42" i="17"/>
  <c r="G43" i="17"/>
  <c r="G44" i="17"/>
  <c r="G45" i="17"/>
  <c r="G46" i="17"/>
  <c r="H16" i="17"/>
  <c r="I16" i="17"/>
  <c r="I5" i="17"/>
  <c r="I6" i="17"/>
  <c r="I7" i="17"/>
  <c r="I8" i="17"/>
  <c r="I9" i="17"/>
  <c r="I10" i="17"/>
  <c r="I11" i="17"/>
  <c r="I12" i="17"/>
  <c r="I13" i="17"/>
  <c r="I14" i="17"/>
  <c r="I15" i="17"/>
  <c r="I4" i="17"/>
  <c r="H5" i="17"/>
  <c r="H6" i="17"/>
  <c r="H7" i="17"/>
  <c r="H8" i="17"/>
  <c r="H9" i="17"/>
  <c r="H10" i="17"/>
  <c r="H11" i="17"/>
  <c r="H12" i="17"/>
  <c r="H13" i="17"/>
  <c r="H14" i="17"/>
  <c r="H15" i="17"/>
  <c r="I15" i="19" l="1"/>
  <c r="I18" i="19"/>
  <c r="S19" i="19"/>
  <c r="K14" i="20"/>
  <c r="E34" i="17"/>
  <c r="I6" i="19"/>
  <c r="I34" i="19"/>
  <c r="I16" i="19"/>
  <c r="I10" i="19"/>
  <c r="M19" i="19"/>
  <c r="S35" i="19"/>
  <c r="I20" i="19"/>
  <c r="I14" i="19"/>
  <c r="I8" i="19"/>
  <c r="M35" i="19"/>
  <c r="I9" i="19"/>
  <c r="I19" i="19"/>
  <c r="I13" i="19"/>
  <c r="I7" i="19"/>
  <c r="I12" i="19"/>
  <c r="I17" i="19"/>
  <c r="I11" i="19"/>
  <c r="M17" i="19"/>
  <c r="M31" i="19"/>
  <c r="M27" i="19"/>
  <c r="M23" i="19"/>
  <c r="M11" i="19"/>
  <c r="M7" i="19"/>
  <c r="M6" i="19"/>
  <c r="M33" i="19"/>
  <c r="M29" i="19"/>
  <c r="M25" i="19"/>
  <c r="M21" i="19"/>
  <c r="M15" i="19"/>
  <c r="M13" i="19"/>
  <c r="M9" i="19"/>
  <c r="M34" i="19"/>
  <c r="M32" i="19"/>
  <c r="M30" i="19"/>
  <c r="M28" i="19"/>
  <c r="M26" i="19"/>
  <c r="M24" i="19"/>
  <c r="M22" i="19"/>
  <c r="M20" i="19"/>
  <c r="M18" i="19"/>
  <c r="M16" i="19"/>
  <c r="M14" i="19"/>
  <c r="M12" i="19"/>
  <c r="M10" i="19"/>
  <c r="M8" i="19"/>
  <c r="I22" i="19"/>
  <c r="I32" i="19"/>
  <c r="I30" i="19"/>
  <c r="I28" i="19"/>
  <c r="I26" i="19"/>
  <c r="I24" i="19"/>
  <c r="I35" i="19"/>
  <c r="I33" i="19"/>
  <c r="I31" i="19"/>
  <c r="I29" i="19"/>
  <c r="I27" i="19"/>
  <c r="I25" i="19"/>
  <c r="I23" i="19"/>
  <c r="I21" i="19"/>
  <c r="S33" i="19"/>
  <c r="S17" i="19"/>
  <c r="S31" i="19"/>
  <c r="S27" i="19"/>
  <c r="S21" i="19"/>
  <c r="S13" i="19"/>
  <c r="S11" i="19"/>
  <c r="S7" i="19"/>
  <c r="S29" i="19"/>
  <c r="S25" i="19"/>
  <c r="S23" i="19"/>
  <c r="S15" i="19"/>
  <c r="S9" i="19"/>
  <c r="S6" i="19"/>
  <c r="S34" i="19"/>
  <c r="S32" i="19"/>
  <c r="S30" i="19"/>
  <c r="S28" i="19"/>
  <c r="S26" i="19"/>
  <c r="S24" i="19"/>
  <c r="S22" i="19"/>
  <c r="S20" i="19"/>
  <c r="S18" i="19"/>
  <c r="S16" i="19"/>
  <c r="S14" i="19"/>
  <c r="S12" i="19"/>
  <c r="S10" i="19"/>
  <c r="S8" i="19"/>
  <c r="R62" i="20"/>
  <c r="R63" i="20"/>
  <c r="H62" i="20"/>
  <c r="H63" i="20"/>
  <c r="M62" i="20"/>
  <c r="M63" i="20"/>
  <c r="E35" i="17"/>
  <c r="N14" i="20" s="1"/>
  <c r="E37" i="17"/>
  <c r="E39" i="17"/>
  <c r="E41" i="17"/>
  <c r="E43" i="17"/>
  <c r="E45" i="17"/>
  <c r="E36" i="17"/>
  <c r="E38" i="17"/>
  <c r="E40" i="17"/>
  <c r="E42" i="17"/>
  <c r="E44" i="17"/>
  <c r="A15" i="20"/>
  <c r="A14" i="20"/>
  <c r="N15" i="20" l="1"/>
  <c r="S39" i="20"/>
  <c r="S38" i="20"/>
  <c r="Q38" i="20"/>
  <c r="A50" i="15"/>
  <c r="A51" i="15" l="1"/>
  <c r="N44" i="15"/>
  <c r="F44" i="15"/>
  <c r="M42" i="15"/>
  <c r="N42" i="15"/>
  <c r="E42" i="15"/>
  <c r="F42" i="15"/>
  <c r="M43" i="15"/>
  <c r="N43" i="15"/>
  <c r="E43" i="15"/>
  <c r="F43" i="15"/>
  <c r="M41" i="15"/>
  <c r="N41" i="15"/>
  <c r="E41" i="15"/>
  <c r="F41" i="15"/>
  <c r="M40" i="15"/>
  <c r="N40" i="15"/>
  <c r="E40" i="15"/>
  <c r="F40" i="15"/>
  <c r="M39" i="15"/>
  <c r="N39" i="15"/>
  <c r="E39" i="15"/>
  <c r="R43" i="15"/>
  <c r="J43" i="15"/>
  <c r="R42" i="15"/>
  <c r="J42" i="15"/>
  <c r="H163" i="14"/>
  <c r="H161" i="14"/>
  <c r="H160" i="14"/>
  <c r="H159" i="14"/>
  <c r="H158" i="14"/>
  <c r="H157" i="14"/>
  <c r="H156" i="14"/>
  <c r="H155" i="14"/>
  <c r="H154" i="14"/>
  <c r="H153" i="14"/>
  <c r="H152" i="14"/>
  <c r="H151" i="14"/>
  <c r="H150" i="14"/>
  <c r="H149" i="14"/>
  <c r="H148" i="14"/>
  <c r="H147" i="14"/>
  <c r="H146" i="14"/>
  <c r="H145" i="14"/>
  <c r="H144" i="14"/>
  <c r="H143" i="14"/>
  <c r="H142" i="14"/>
  <c r="H141" i="14"/>
  <c r="H140" i="14"/>
  <c r="H139" i="14"/>
  <c r="H138" i="14"/>
  <c r="H137" i="14"/>
  <c r="H136" i="14"/>
  <c r="H135" i="14"/>
  <c r="H134" i="14"/>
  <c r="H133" i="14"/>
  <c r="H132" i="14"/>
  <c r="H131" i="14"/>
  <c r="H130" i="14"/>
  <c r="H129" i="14"/>
  <c r="H128" i="14"/>
  <c r="H127" i="14"/>
  <c r="H126" i="14"/>
  <c r="H125" i="14"/>
  <c r="H124" i="14"/>
  <c r="H123" i="14"/>
  <c r="H122" i="14"/>
  <c r="H121" i="14"/>
  <c r="H120" i="14"/>
  <c r="H119" i="14"/>
  <c r="H118" i="14"/>
  <c r="H117" i="14"/>
  <c r="H116" i="14"/>
  <c r="H115" i="14"/>
  <c r="R40" i="15"/>
  <c r="R41" i="15"/>
  <c r="R44" i="15"/>
  <c r="J40" i="15"/>
  <c r="J41" i="15"/>
  <c r="J44" i="15"/>
  <c r="R39" i="15"/>
  <c r="J39" i="15"/>
  <c r="F39" i="15"/>
  <c r="K22" i="15"/>
  <c r="K21" i="15"/>
  <c r="K20" i="15"/>
  <c r="K19" i="15"/>
  <c r="K18" i="15"/>
  <c r="K17" i="15"/>
  <c r="K16" i="15"/>
  <c r="K15" i="15"/>
  <c r="K14" i="15"/>
  <c r="K13" i="15"/>
  <c r="K12" i="15"/>
  <c r="K11" i="15"/>
  <c r="Q22" i="15"/>
  <c r="Q21" i="15"/>
  <c r="Q20" i="15"/>
  <c r="Q19" i="15"/>
  <c r="Q18" i="15"/>
  <c r="Q17" i="15"/>
  <c r="Q16" i="15"/>
  <c r="Q15" i="15"/>
  <c r="Q14" i="15"/>
  <c r="Q13" i="15"/>
  <c r="Q12" i="15"/>
  <c r="Q11" i="15"/>
  <c r="A29" i="15"/>
  <c r="A28" i="15"/>
  <c r="S96" i="16"/>
  <c r="P96" i="16"/>
  <c r="K96" i="16"/>
  <c r="S95" i="16"/>
  <c r="P95" i="16"/>
  <c r="K95" i="16"/>
  <c r="S94" i="16"/>
  <c r="P94" i="16"/>
  <c r="K94" i="16"/>
  <c r="I96" i="16"/>
  <c r="F96" i="16"/>
  <c r="A96" i="16"/>
  <c r="I95" i="16"/>
  <c r="F95" i="16"/>
  <c r="A95" i="16"/>
  <c r="I94" i="16"/>
  <c r="F94" i="16"/>
  <c r="A94" i="16"/>
  <c r="I64" i="16" l="1"/>
  <c r="H63" i="16"/>
  <c r="I63" i="16"/>
  <c r="H64" i="16"/>
  <c r="G64" i="16"/>
  <c r="F64" i="16"/>
  <c r="E64" i="16"/>
  <c r="D64" i="16"/>
  <c r="C64" i="16"/>
  <c r="B64" i="16"/>
  <c r="A64" i="16"/>
  <c r="G63" i="16"/>
  <c r="F63" i="16"/>
  <c r="E63" i="16"/>
  <c r="D63" i="16"/>
  <c r="C63" i="16"/>
  <c r="B63" i="16"/>
  <c r="A63" i="16"/>
  <c r="A13" i="16" l="1"/>
  <c r="A12" i="16"/>
  <c r="P41" i="8" l="1"/>
  <c r="I41" i="8"/>
  <c r="F41" i="8"/>
  <c r="G41" i="8"/>
  <c r="E41" i="8"/>
  <c r="D41" i="8"/>
  <c r="C41" i="8"/>
  <c r="A42" i="8"/>
  <c r="A41" i="8"/>
  <c r="P27" i="8"/>
  <c r="I27" i="8"/>
  <c r="E28" i="8"/>
  <c r="G29" i="8"/>
  <c r="E29" i="8"/>
  <c r="D29" i="8"/>
  <c r="C29" i="8"/>
  <c r="B29" i="8"/>
  <c r="G28" i="8"/>
  <c r="D28" i="8"/>
  <c r="C28" i="8"/>
  <c r="B28" i="8"/>
  <c r="A28" i="8"/>
  <c r="A29" i="8"/>
  <c r="P23" i="8"/>
  <c r="P22" i="8"/>
  <c r="J22" i="8"/>
  <c r="J45" i="8" l="1"/>
  <c r="J49" i="8"/>
  <c r="J44" i="8"/>
  <c r="J43" i="8"/>
  <c r="J46" i="8"/>
  <c r="J47" i="8"/>
  <c r="J48" i="8"/>
  <c r="J12" i="8"/>
  <c r="P16" i="8"/>
  <c r="S16" i="8" l="1"/>
  <c r="J16" i="8"/>
  <c r="M16" i="8"/>
  <c r="P14" i="8"/>
  <c r="P12" i="8"/>
  <c r="J14" i="8" l="1"/>
  <c r="M14" i="8"/>
  <c r="S14" i="8"/>
  <c r="J78" i="4" l="1"/>
  <c r="J82" i="4" s="1"/>
  <c r="A78" i="4"/>
  <c r="B78" i="4" s="1"/>
  <c r="O84" i="4" l="1"/>
  <c r="O85" i="4"/>
  <c r="O86" i="4"/>
  <c r="O87" i="4"/>
  <c r="O88" i="4"/>
  <c r="O89" i="4"/>
  <c r="O90" i="4"/>
  <c r="O91" i="4"/>
  <c r="O92" i="4"/>
  <c r="N83" i="4"/>
  <c r="N84" i="4"/>
  <c r="N85" i="4"/>
  <c r="N86" i="4"/>
  <c r="N87" i="4"/>
  <c r="N88" i="4"/>
  <c r="N89" i="4"/>
  <c r="N90" i="4"/>
  <c r="N91" i="4"/>
  <c r="N92" i="4"/>
  <c r="O83" i="4"/>
  <c r="L91" i="4"/>
  <c r="L89" i="4"/>
  <c r="L87" i="4"/>
  <c r="L85" i="4"/>
  <c r="L83" i="4"/>
  <c r="L92" i="4"/>
  <c r="L90" i="4"/>
  <c r="L88" i="4"/>
  <c r="L86" i="4"/>
  <c r="L84" i="4"/>
  <c r="K78" i="4"/>
  <c r="A27" i="7" l="1"/>
  <c r="A26" i="7"/>
  <c r="F25" i="7"/>
  <c r="F24" i="7"/>
  <c r="F23" i="7"/>
  <c r="F22" i="7"/>
  <c r="G25" i="7"/>
  <c r="G24" i="7"/>
  <c r="G23" i="7"/>
  <c r="G22" i="7"/>
  <c r="D25" i="7"/>
  <c r="E25" i="7"/>
  <c r="E22" i="7"/>
  <c r="D22" i="7"/>
  <c r="E27" i="7" l="1"/>
  <c r="D27" i="7"/>
  <c r="D24" i="7"/>
  <c r="E24" i="7"/>
  <c r="K13" i="7"/>
  <c r="E23" i="7"/>
  <c r="M15" i="7"/>
  <c r="K16" i="7"/>
  <c r="K15" i="7"/>
  <c r="I16" i="7"/>
  <c r="I15" i="7"/>
  <c r="M14" i="7"/>
  <c r="M13" i="7"/>
  <c r="K14" i="7"/>
  <c r="I14" i="7"/>
  <c r="F16" i="7"/>
  <c r="F14" i="7"/>
  <c r="E26" i="7" l="1"/>
  <c r="I13" i="7"/>
  <c r="D23" i="7"/>
  <c r="D26" i="7" s="1"/>
  <c r="A15" i="7" l="1"/>
  <c r="A13" i="7"/>
  <c r="R12" i="1" l="1"/>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L12" i="1" s="1"/>
  <c r="E34" i="2"/>
  <c r="E35" i="2"/>
  <c r="E36" i="2"/>
  <c r="E37" i="2"/>
  <c r="E39" i="2"/>
  <c r="E42" i="1"/>
  <c r="C42" i="1"/>
  <c r="E43" i="1"/>
  <c r="C43" i="1"/>
  <c r="C32" i="1"/>
  <c r="E32" i="1"/>
  <c r="E27" i="1"/>
  <c r="C27" i="1"/>
  <c r="O20" i="1"/>
  <c r="O12" i="1"/>
  <c r="H6" i="2"/>
  <c r="O14" i="1"/>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I14" i="1"/>
  <c r="O15" i="1" l="1"/>
  <c r="C31" i="1"/>
  <c r="C33" i="1"/>
  <c r="E29" i="1"/>
  <c r="E31" i="1"/>
  <c r="E33" i="1"/>
  <c r="C29" i="1"/>
  <c r="C28" i="1"/>
  <c r="C30" i="1"/>
  <c r="E28" i="1"/>
  <c r="E30" i="1"/>
  <c r="I15" i="1"/>
  <c r="O13" i="1"/>
  <c r="I13" i="1"/>
  <c r="V7" i="19" l="1"/>
  <c r="W7" i="19"/>
  <c r="V8" i="19"/>
  <c r="W8" i="19"/>
  <c r="V9" i="19"/>
  <c r="W9" i="19"/>
  <c r="V10" i="19"/>
  <c r="W10" i="19"/>
  <c r="V11" i="19"/>
  <c r="W11" i="19"/>
  <c r="V12" i="19"/>
  <c r="W12" i="19"/>
  <c r="V13" i="19"/>
  <c r="W13" i="19"/>
  <c r="V14" i="19"/>
  <c r="W14" i="19"/>
  <c r="V15" i="19"/>
  <c r="W15" i="19"/>
  <c r="V16" i="19"/>
  <c r="W16" i="19"/>
  <c r="V17" i="19"/>
  <c r="W17" i="19"/>
  <c r="V18" i="19"/>
  <c r="W18" i="19"/>
  <c r="V19" i="19"/>
  <c r="W19" i="19"/>
  <c r="V20" i="19"/>
  <c r="W20" i="19"/>
  <c r="V21" i="19"/>
  <c r="W21" i="19"/>
  <c r="V22" i="19"/>
  <c r="W22" i="19"/>
  <c r="V23" i="19"/>
  <c r="W23" i="19"/>
  <c r="V24" i="19"/>
  <c r="W24" i="19"/>
  <c r="V25" i="19"/>
  <c r="W25" i="19"/>
  <c r="V26" i="19"/>
  <c r="W26" i="19"/>
  <c r="V27" i="19"/>
  <c r="W27" i="19"/>
  <c r="V28" i="19"/>
  <c r="W28" i="19"/>
  <c r="V29" i="19"/>
  <c r="W29" i="19"/>
  <c r="V30" i="19"/>
  <c r="W30" i="19"/>
  <c r="V31" i="19"/>
  <c r="W31" i="19"/>
  <c r="V32" i="19"/>
  <c r="W32" i="19"/>
  <c r="V33" i="19"/>
  <c r="W33" i="19"/>
  <c r="V34" i="19"/>
  <c r="W34" i="19"/>
  <c r="V35" i="19"/>
  <c r="W35" i="19"/>
  <c r="V36" i="19"/>
  <c r="W36" i="19"/>
  <c r="V37" i="19"/>
  <c r="C93" i="20" s="1"/>
  <c r="W37" i="19"/>
  <c r="V38" i="19"/>
  <c r="W38" i="19"/>
  <c r="V40" i="19"/>
  <c r="W40" i="19"/>
  <c r="W6" i="19"/>
  <c r="T63" i="20"/>
  <c r="T62" i="20"/>
  <c r="O63" i="20"/>
  <c r="O62" i="20"/>
  <c r="J63" i="20"/>
  <c r="J62" i="20"/>
  <c r="D93" i="20" l="1"/>
  <c r="C97" i="20"/>
  <c r="D97" i="20"/>
  <c r="D96" i="20"/>
  <c r="D95" i="20"/>
  <c r="D94" i="20"/>
  <c r="C96" i="20"/>
  <c r="C95" i="20"/>
  <c r="C94" i="20"/>
  <c r="S5" i="17"/>
  <c r="S6" i="17"/>
  <c r="S7" i="17"/>
  <c r="S8" i="17"/>
  <c r="S9" i="17"/>
  <c r="S10" i="17"/>
  <c r="S11" i="17"/>
  <c r="S12" i="17"/>
  <c r="S13" i="17"/>
  <c r="S14" i="17"/>
  <c r="S15" i="17"/>
  <c r="S4" i="17"/>
  <c r="M6" i="14" l="1"/>
  <c r="M7" i="14"/>
  <c r="N7" i="14"/>
  <c r="O7" i="14"/>
  <c r="P7" i="14"/>
  <c r="Q7" i="14"/>
  <c r="R7" i="14"/>
  <c r="S7" i="14"/>
  <c r="M8" i="14"/>
  <c r="N8" i="14"/>
  <c r="O8" i="14"/>
  <c r="P8" i="14"/>
  <c r="Q8" i="14"/>
  <c r="R8" i="14"/>
  <c r="S8" i="14"/>
  <c r="M9" i="14"/>
  <c r="N9" i="14"/>
  <c r="O9" i="14"/>
  <c r="P9" i="14"/>
  <c r="Q9" i="14"/>
  <c r="R9" i="14"/>
  <c r="S9" i="14"/>
  <c r="M10" i="14"/>
  <c r="N10" i="14"/>
  <c r="O10" i="14"/>
  <c r="P10" i="14"/>
  <c r="Q10" i="14"/>
  <c r="R10" i="14"/>
  <c r="S10" i="14"/>
  <c r="M11" i="14"/>
  <c r="N11" i="14"/>
  <c r="O11" i="14"/>
  <c r="P11" i="14"/>
  <c r="Q11" i="14"/>
  <c r="R11" i="14"/>
  <c r="S11" i="14"/>
  <c r="M12" i="14"/>
  <c r="N12" i="14"/>
  <c r="O12" i="14"/>
  <c r="P12" i="14"/>
  <c r="Q12" i="14"/>
  <c r="R12" i="14"/>
  <c r="S12" i="14"/>
  <c r="M13" i="14"/>
  <c r="N13" i="14"/>
  <c r="O13" i="14"/>
  <c r="P13" i="14"/>
  <c r="Q13" i="14"/>
  <c r="R13" i="14"/>
  <c r="S13" i="14"/>
  <c r="M14" i="14"/>
  <c r="N14" i="14"/>
  <c r="O14" i="14"/>
  <c r="P14" i="14"/>
  <c r="Q14" i="14"/>
  <c r="R14" i="14"/>
  <c r="S14" i="14"/>
  <c r="M15" i="14"/>
  <c r="N15" i="14"/>
  <c r="O15" i="14"/>
  <c r="P15" i="14"/>
  <c r="Q15" i="14"/>
  <c r="R15" i="14"/>
  <c r="S15" i="14"/>
  <c r="M16" i="14"/>
  <c r="N16" i="14"/>
  <c r="O16" i="14"/>
  <c r="P16" i="14"/>
  <c r="Q16" i="14"/>
  <c r="R16" i="14"/>
  <c r="S16" i="14"/>
  <c r="M17" i="14"/>
  <c r="N17" i="14"/>
  <c r="O17" i="14"/>
  <c r="P17" i="14"/>
  <c r="Q17" i="14"/>
  <c r="R17" i="14"/>
  <c r="S17" i="14"/>
  <c r="M18" i="14"/>
  <c r="N18" i="14"/>
  <c r="O18" i="14"/>
  <c r="P18" i="14"/>
  <c r="Q18" i="14"/>
  <c r="R18" i="14"/>
  <c r="S18" i="14"/>
  <c r="M19" i="14"/>
  <c r="N19" i="14"/>
  <c r="O19" i="14"/>
  <c r="P19" i="14"/>
  <c r="Q19" i="14"/>
  <c r="R19" i="14"/>
  <c r="S19" i="14"/>
  <c r="M20" i="14"/>
  <c r="N20" i="14"/>
  <c r="O20" i="14"/>
  <c r="P20" i="14"/>
  <c r="Q20" i="14"/>
  <c r="R20" i="14"/>
  <c r="S20" i="14"/>
  <c r="M21" i="14"/>
  <c r="N21" i="14"/>
  <c r="O21" i="14"/>
  <c r="P21" i="14"/>
  <c r="Q21" i="14"/>
  <c r="R21" i="14"/>
  <c r="S21" i="14"/>
  <c r="M22" i="14"/>
  <c r="N22" i="14"/>
  <c r="O22" i="14"/>
  <c r="P22" i="14"/>
  <c r="Q22" i="14"/>
  <c r="R22" i="14"/>
  <c r="S22" i="14"/>
  <c r="M23" i="14"/>
  <c r="N23" i="14"/>
  <c r="O23" i="14"/>
  <c r="P23" i="14"/>
  <c r="Q23" i="14"/>
  <c r="R23" i="14"/>
  <c r="S23" i="14"/>
  <c r="M24" i="14"/>
  <c r="N24" i="14"/>
  <c r="O24" i="14"/>
  <c r="P24" i="14"/>
  <c r="Q24" i="14"/>
  <c r="R24" i="14"/>
  <c r="S24" i="14"/>
  <c r="M25" i="14"/>
  <c r="B50" i="15" s="1"/>
  <c r="N25" i="14"/>
  <c r="C50" i="15" s="1"/>
  <c r="O25" i="14"/>
  <c r="D50" i="15" s="1"/>
  <c r="P25" i="14"/>
  <c r="E50" i="15" s="1"/>
  <c r="Q25" i="14"/>
  <c r="F50" i="15" s="1"/>
  <c r="R25" i="14"/>
  <c r="G50" i="15" s="1"/>
  <c r="S25" i="14"/>
  <c r="H50" i="15" s="1"/>
  <c r="M26" i="14"/>
  <c r="N26" i="14"/>
  <c r="O26" i="14"/>
  <c r="P26" i="14"/>
  <c r="Q26" i="14"/>
  <c r="R26" i="14"/>
  <c r="S26" i="14"/>
  <c r="M27" i="14"/>
  <c r="N27" i="14"/>
  <c r="O27" i="14"/>
  <c r="P27" i="14"/>
  <c r="Q27" i="14"/>
  <c r="R27" i="14"/>
  <c r="S27" i="14"/>
  <c r="M28" i="14"/>
  <c r="N28" i="14"/>
  <c r="O28" i="14"/>
  <c r="P28" i="14"/>
  <c r="Q28" i="14"/>
  <c r="R28" i="14"/>
  <c r="S28" i="14"/>
  <c r="M29" i="14"/>
  <c r="N29" i="14"/>
  <c r="O29" i="14"/>
  <c r="P29" i="14"/>
  <c r="Q29" i="14"/>
  <c r="R29" i="14"/>
  <c r="S29" i="14"/>
  <c r="M30" i="14"/>
  <c r="N30" i="14"/>
  <c r="O30" i="14"/>
  <c r="P30" i="14"/>
  <c r="Q30" i="14"/>
  <c r="R30" i="14"/>
  <c r="S30" i="14"/>
  <c r="M31" i="14"/>
  <c r="N31" i="14"/>
  <c r="O31" i="14"/>
  <c r="P31" i="14"/>
  <c r="Q31" i="14"/>
  <c r="R31" i="14"/>
  <c r="S31" i="14"/>
  <c r="M32" i="14"/>
  <c r="N32" i="14"/>
  <c r="O32" i="14"/>
  <c r="P32" i="14"/>
  <c r="Q32" i="14"/>
  <c r="R32" i="14"/>
  <c r="S32" i="14"/>
  <c r="M33" i="14"/>
  <c r="N33" i="14"/>
  <c r="O33" i="14"/>
  <c r="P33" i="14"/>
  <c r="Q33" i="14"/>
  <c r="R33" i="14"/>
  <c r="S33" i="14"/>
  <c r="M34" i="14"/>
  <c r="N34" i="14"/>
  <c r="O34" i="14"/>
  <c r="P34" i="14"/>
  <c r="Q34" i="14"/>
  <c r="R34" i="14"/>
  <c r="S34" i="14"/>
  <c r="M35" i="14"/>
  <c r="N35" i="14"/>
  <c r="O35" i="14"/>
  <c r="P35" i="14"/>
  <c r="Q35" i="14"/>
  <c r="R35" i="14"/>
  <c r="S35" i="14"/>
  <c r="M36" i="14"/>
  <c r="N36" i="14"/>
  <c r="O36" i="14"/>
  <c r="P36" i="14"/>
  <c r="Q36" i="14"/>
  <c r="R36" i="14"/>
  <c r="S36" i="14"/>
  <c r="M37" i="14"/>
  <c r="N37" i="14"/>
  <c r="O37" i="14"/>
  <c r="P37" i="14"/>
  <c r="Q37" i="14"/>
  <c r="R37" i="14"/>
  <c r="S37" i="14"/>
  <c r="M38" i="14"/>
  <c r="N38" i="14"/>
  <c r="O38" i="14"/>
  <c r="P38" i="14"/>
  <c r="Q38" i="14"/>
  <c r="R38" i="14"/>
  <c r="S38" i="14"/>
  <c r="M39" i="14"/>
  <c r="N39" i="14"/>
  <c r="O39" i="14"/>
  <c r="P39" i="14"/>
  <c r="Q39" i="14"/>
  <c r="R39" i="14"/>
  <c r="S39" i="14"/>
  <c r="M40" i="14"/>
  <c r="N40" i="14"/>
  <c r="O40" i="14"/>
  <c r="P40" i="14"/>
  <c r="Q40" i="14"/>
  <c r="R40" i="14"/>
  <c r="S40" i="14"/>
  <c r="M41" i="14"/>
  <c r="N41" i="14"/>
  <c r="O41" i="14"/>
  <c r="P41" i="14"/>
  <c r="Q41" i="14"/>
  <c r="R41" i="14"/>
  <c r="S41" i="14"/>
  <c r="M42" i="14"/>
  <c r="N42" i="14"/>
  <c r="O42" i="14"/>
  <c r="P42" i="14"/>
  <c r="Q42" i="14"/>
  <c r="R42" i="14"/>
  <c r="S42" i="14"/>
  <c r="M43" i="14"/>
  <c r="N43" i="14"/>
  <c r="O43" i="14"/>
  <c r="P43" i="14"/>
  <c r="Q43" i="14"/>
  <c r="R43" i="14"/>
  <c r="S43" i="14"/>
  <c r="M44" i="14"/>
  <c r="N44" i="14"/>
  <c r="O44" i="14"/>
  <c r="P44" i="14"/>
  <c r="Q44" i="14"/>
  <c r="R44" i="14"/>
  <c r="S44" i="14"/>
  <c r="M45" i="14"/>
  <c r="N45" i="14"/>
  <c r="O45" i="14"/>
  <c r="P45" i="14"/>
  <c r="Q45" i="14"/>
  <c r="R45" i="14"/>
  <c r="S45" i="14"/>
  <c r="M46" i="14"/>
  <c r="N46" i="14"/>
  <c r="O46" i="14"/>
  <c r="P46" i="14"/>
  <c r="Q46" i="14"/>
  <c r="R46" i="14"/>
  <c r="S46" i="14"/>
  <c r="M47" i="14"/>
  <c r="N47" i="14"/>
  <c r="O47" i="14"/>
  <c r="P47" i="14"/>
  <c r="Q47" i="14"/>
  <c r="R47" i="14"/>
  <c r="S47" i="14"/>
  <c r="M48" i="14"/>
  <c r="N48" i="14"/>
  <c r="O48" i="14"/>
  <c r="P48" i="14"/>
  <c r="Q48" i="14"/>
  <c r="R48" i="14"/>
  <c r="S48" i="14"/>
  <c r="M49" i="14"/>
  <c r="N49" i="14"/>
  <c r="O49" i="14"/>
  <c r="P49" i="14"/>
  <c r="Q49" i="14"/>
  <c r="R49" i="14"/>
  <c r="S49" i="14"/>
  <c r="M50" i="14"/>
  <c r="N50" i="14"/>
  <c r="O50" i="14"/>
  <c r="P50" i="14"/>
  <c r="Q50" i="14"/>
  <c r="R50" i="14"/>
  <c r="S50" i="14"/>
  <c r="M51" i="14"/>
  <c r="N51" i="14"/>
  <c r="O51" i="14"/>
  <c r="P51" i="14"/>
  <c r="Q51" i="14"/>
  <c r="R51" i="14"/>
  <c r="S51" i="14"/>
  <c r="M52" i="14"/>
  <c r="N52" i="14"/>
  <c r="O52" i="14"/>
  <c r="P52" i="14"/>
  <c r="Q52" i="14"/>
  <c r="R52" i="14"/>
  <c r="S52" i="14"/>
  <c r="M53" i="14"/>
  <c r="N53" i="14"/>
  <c r="O53" i="14"/>
  <c r="P53" i="14"/>
  <c r="Q53" i="14"/>
  <c r="R53" i="14"/>
  <c r="S53" i="14"/>
  <c r="O6" i="14"/>
  <c r="N6" i="14"/>
  <c r="P6" i="14"/>
  <c r="Q6" i="14"/>
  <c r="R6" i="14"/>
  <c r="S6" i="14"/>
  <c r="G51" i="15" l="1"/>
  <c r="E51" i="15"/>
  <c r="C51" i="15"/>
  <c r="T9" i="14"/>
  <c r="H51" i="15"/>
  <c r="F51" i="15"/>
  <c r="D51" i="15"/>
  <c r="B51" i="15"/>
  <c r="T10" i="14"/>
  <c r="D111" i="12"/>
  <c r="E111" i="12"/>
  <c r="F111" i="12"/>
  <c r="G111" i="12"/>
  <c r="H111" i="12"/>
  <c r="I111" i="12"/>
  <c r="J111" i="12"/>
  <c r="K111" i="12"/>
  <c r="L111" i="12"/>
  <c r="M111" i="12"/>
  <c r="N111" i="12"/>
  <c r="O111" i="12"/>
  <c r="D112" i="12"/>
  <c r="E112" i="12"/>
  <c r="F112" i="12"/>
  <c r="G112" i="12"/>
  <c r="H112" i="12"/>
  <c r="I112" i="12"/>
  <c r="J112" i="12"/>
  <c r="K112" i="12"/>
  <c r="L112" i="12"/>
  <c r="M112" i="12"/>
  <c r="N112" i="12"/>
  <c r="O112" i="12"/>
  <c r="D113" i="12"/>
  <c r="E113" i="12"/>
  <c r="F113" i="12"/>
  <c r="G113" i="12"/>
  <c r="H113" i="12"/>
  <c r="I113" i="12"/>
  <c r="J113" i="12"/>
  <c r="K113" i="12"/>
  <c r="L113" i="12"/>
  <c r="M113" i="12"/>
  <c r="N113" i="12"/>
  <c r="O113" i="12"/>
  <c r="D114" i="12"/>
  <c r="E114" i="12"/>
  <c r="F114" i="12"/>
  <c r="G114" i="12"/>
  <c r="H114" i="12"/>
  <c r="I114" i="12"/>
  <c r="J114" i="12"/>
  <c r="K114" i="12"/>
  <c r="L114" i="12"/>
  <c r="M114" i="12"/>
  <c r="N114" i="12"/>
  <c r="O114" i="12"/>
  <c r="D115" i="12"/>
  <c r="E115" i="12"/>
  <c r="F115" i="12"/>
  <c r="G115" i="12"/>
  <c r="H115" i="12"/>
  <c r="I115" i="12"/>
  <c r="J115" i="12"/>
  <c r="K115" i="12"/>
  <c r="L115" i="12"/>
  <c r="M115" i="12"/>
  <c r="N115" i="12"/>
  <c r="O115" i="12"/>
  <c r="D116" i="12"/>
  <c r="E116" i="12"/>
  <c r="F116" i="12"/>
  <c r="G116" i="12"/>
  <c r="H116" i="12"/>
  <c r="I116" i="12"/>
  <c r="J116" i="12"/>
  <c r="K116" i="12"/>
  <c r="L116" i="12"/>
  <c r="M116" i="12"/>
  <c r="N116" i="12"/>
  <c r="O116" i="12"/>
  <c r="D117" i="12"/>
  <c r="E117" i="12"/>
  <c r="F117" i="12"/>
  <c r="G117" i="12"/>
  <c r="H117" i="12"/>
  <c r="I117" i="12"/>
  <c r="J117" i="12"/>
  <c r="K117" i="12"/>
  <c r="L117" i="12"/>
  <c r="M117" i="12"/>
  <c r="N117" i="12"/>
  <c r="O117" i="12"/>
  <c r="D118" i="12"/>
  <c r="E118" i="12"/>
  <c r="F118" i="12"/>
  <c r="G118" i="12"/>
  <c r="H118" i="12"/>
  <c r="I118" i="12"/>
  <c r="J118" i="12"/>
  <c r="K118" i="12"/>
  <c r="L118" i="12"/>
  <c r="M118" i="12"/>
  <c r="N118" i="12"/>
  <c r="O118" i="12"/>
  <c r="D119" i="12"/>
  <c r="E119" i="12"/>
  <c r="F119" i="12"/>
  <c r="G119" i="12"/>
  <c r="H119" i="12"/>
  <c r="I119" i="12"/>
  <c r="J119" i="12"/>
  <c r="K119" i="12"/>
  <c r="L119" i="12"/>
  <c r="M119" i="12"/>
  <c r="N119" i="12"/>
  <c r="O119" i="12"/>
  <c r="D120" i="12"/>
  <c r="E120" i="12"/>
  <c r="F120" i="12"/>
  <c r="G120" i="12"/>
  <c r="H120" i="12"/>
  <c r="I120" i="12"/>
  <c r="J120" i="12"/>
  <c r="K120" i="12"/>
  <c r="L120" i="12"/>
  <c r="M120" i="12"/>
  <c r="N120" i="12"/>
  <c r="O120" i="12"/>
  <c r="D121" i="12"/>
  <c r="E121" i="12"/>
  <c r="F121" i="12"/>
  <c r="G121" i="12"/>
  <c r="H121" i="12"/>
  <c r="I121" i="12"/>
  <c r="J121" i="12"/>
  <c r="K121" i="12"/>
  <c r="L121" i="12"/>
  <c r="M121" i="12"/>
  <c r="N121" i="12"/>
  <c r="O121" i="12"/>
  <c r="D122" i="12"/>
  <c r="E122" i="12"/>
  <c r="F122" i="12"/>
  <c r="G122" i="12"/>
  <c r="H122" i="12"/>
  <c r="I122" i="12"/>
  <c r="J122" i="12"/>
  <c r="K122" i="12"/>
  <c r="L122" i="12"/>
  <c r="M122" i="12"/>
  <c r="N122" i="12"/>
  <c r="O122" i="12"/>
  <c r="D123" i="12"/>
  <c r="E123" i="12"/>
  <c r="F123" i="12"/>
  <c r="G123" i="12"/>
  <c r="H123" i="12"/>
  <c r="I123" i="12"/>
  <c r="J123" i="12"/>
  <c r="K123" i="12"/>
  <c r="L123" i="12"/>
  <c r="M123" i="12"/>
  <c r="N123" i="12"/>
  <c r="O123" i="12"/>
  <c r="D124" i="12"/>
  <c r="E124" i="12"/>
  <c r="F124" i="12"/>
  <c r="G124" i="12"/>
  <c r="H124" i="12"/>
  <c r="I124" i="12"/>
  <c r="J124" i="12"/>
  <c r="K124" i="12"/>
  <c r="L124" i="12"/>
  <c r="M124" i="12"/>
  <c r="N124" i="12"/>
  <c r="O124" i="12"/>
  <c r="D125" i="12"/>
  <c r="E125" i="12"/>
  <c r="F125" i="12"/>
  <c r="G125" i="12"/>
  <c r="H125" i="12"/>
  <c r="I125" i="12"/>
  <c r="J125" i="12"/>
  <c r="K125" i="12"/>
  <c r="L125" i="12"/>
  <c r="M125" i="12"/>
  <c r="N125" i="12"/>
  <c r="O125" i="12"/>
  <c r="D126" i="12"/>
  <c r="E126" i="12"/>
  <c r="F126" i="12"/>
  <c r="G126" i="12"/>
  <c r="H126" i="12"/>
  <c r="I126" i="12"/>
  <c r="J126" i="12"/>
  <c r="K126" i="12"/>
  <c r="L126" i="12"/>
  <c r="M126" i="12"/>
  <c r="N126" i="12"/>
  <c r="O126" i="12"/>
  <c r="D127" i="12"/>
  <c r="E127" i="12"/>
  <c r="F127" i="12"/>
  <c r="G127" i="12"/>
  <c r="H127" i="12"/>
  <c r="I127" i="12"/>
  <c r="J127" i="12"/>
  <c r="K127" i="12"/>
  <c r="L127" i="12"/>
  <c r="M127" i="12"/>
  <c r="N127" i="12"/>
  <c r="O127" i="12"/>
  <c r="D128" i="12"/>
  <c r="E128" i="12"/>
  <c r="F128" i="12"/>
  <c r="G128" i="12"/>
  <c r="H128" i="12"/>
  <c r="I128" i="12"/>
  <c r="J128" i="12"/>
  <c r="K128" i="12"/>
  <c r="L128" i="12"/>
  <c r="M128" i="12"/>
  <c r="N128" i="12"/>
  <c r="O128" i="12"/>
  <c r="D129" i="12"/>
  <c r="E129" i="12"/>
  <c r="F129" i="12"/>
  <c r="G129" i="12"/>
  <c r="H129" i="12"/>
  <c r="I129" i="12"/>
  <c r="J129" i="12"/>
  <c r="K129" i="12"/>
  <c r="L129" i="12"/>
  <c r="M129" i="12"/>
  <c r="N129" i="12"/>
  <c r="O129" i="12"/>
  <c r="D130" i="12"/>
  <c r="E130" i="12"/>
  <c r="F130" i="12"/>
  <c r="G130" i="12"/>
  <c r="H130" i="12"/>
  <c r="I130" i="12"/>
  <c r="J130" i="12"/>
  <c r="K130" i="12"/>
  <c r="L130" i="12"/>
  <c r="M130" i="12"/>
  <c r="N130" i="12"/>
  <c r="O130" i="12"/>
  <c r="D131" i="12"/>
  <c r="S77" i="29" s="1"/>
  <c r="E131" i="12"/>
  <c r="S78" i="29" s="1"/>
  <c r="F131" i="12"/>
  <c r="S79" i="29" s="1"/>
  <c r="G131" i="12"/>
  <c r="S80" i="29" s="1"/>
  <c r="H131" i="12"/>
  <c r="S81" i="29" s="1"/>
  <c r="I131" i="12"/>
  <c r="S82" i="29" s="1"/>
  <c r="J131" i="12"/>
  <c r="S83" i="29" s="1"/>
  <c r="K131" i="12"/>
  <c r="S84" i="29" s="1"/>
  <c r="L131" i="12"/>
  <c r="S85" i="29" s="1"/>
  <c r="M131" i="12"/>
  <c r="N131" i="12"/>
  <c r="O131" i="12"/>
  <c r="S88" i="29" s="1"/>
  <c r="D132" i="12"/>
  <c r="E132" i="12"/>
  <c r="F132" i="12"/>
  <c r="G132" i="12"/>
  <c r="H132" i="12"/>
  <c r="I132" i="12"/>
  <c r="J132" i="12"/>
  <c r="K132" i="12"/>
  <c r="L132" i="12"/>
  <c r="M132" i="12"/>
  <c r="N132" i="12"/>
  <c r="O132" i="12"/>
  <c r="D133" i="12"/>
  <c r="E133" i="12"/>
  <c r="F133" i="12"/>
  <c r="G133" i="12"/>
  <c r="H133" i="12"/>
  <c r="I133" i="12"/>
  <c r="J133" i="12"/>
  <c r="K133" i="12"/>
  <c r="L133" i="12"/>
  <c r="M133" i="12"/>
  <c r="N133" i="12"/>
  <c r="O133" i="12"/>
  <c r="D134" i="12"/>
  <c r="E134" i="12"/>
  <c r="F134" i="12"/>
  <c r="G134" i="12"/>
  <c r="H134" i="12"/>
  <c r="I134" i="12"/>
  <c r="J134" i="12"/>
  <c r="K134" i="12"/>
  <c r="L134" i="12"/>
  <c r="M134" i="12"/>
  <c r="N134" i="12"/>
  <c r="O134" i="12"/>
  <c r="D135" i="12"/>
  <c r="E135" i="12"/>
  <c r="F135" i="12"/>
  <c r="G135" i="12"/>
  <c r="H135" i="12"/>
  <c r="I135" i="12"/>
  <c r="J135" i="12"/>
  <c r="K135" i="12"/>
  <c r="L135" i="12"/>
  <c r="M135" i="12"/>
  <c r="N135" i="12"/>
  <c r="O135" i="12"/>
  <c r="D136" i="12"/>
  <c r="E136" i="12"/>
  <c r="F136" i="12"/>
  <c r="G136" i="12"/>
  <c r="H136" i="12"/>
  <c r="I136" i="12"/>
  <c r="J136" i="12"/>
  <c r="K136" i="12"/>
  <c r="L136" i="12"/>
  <c r="M136" i="12"/>
  <c r="N136" i="12"/>
  <c r="O136" i="12"/>
  <c r="D137" i="12"/>
  <c r="E137" i="12"/>
  <c r="F137" i="12"/>
  <c r="G137" i="12"/>
  <c r="H137" i="12"/>
  <c r="I137" i="12"/>
  <c r="J137" i="12"/>
  <c r="K137" i="12"/>
  <c r="L137" i="12"/>
  <c r="M137" i="12"/>
  <c r="N137" i="12"/>
  <c r="O137" i="12"/>
  <c r="D138" i="12"/>
  <c r="E138" i="12"/>
  <c r="F138" i="12"/>
  <c r="G138" i="12"/>
  <c r="H138" i="12"/>
  <c r="I138" i="12"/>
  <c r="J138" i="12"/>
  <c r="K138" i="12"/>
  <c r="L138" i="12"/>
  <c r="M138" i="12"/>
  <c r="N138" i="12"/>
  <c r="O138" i="12"/>
  <c r="D139" i="12"/>
  <c r="E139" i="12"/>
  <c r="F139" i="12"/>
  <c r="G139" i="12"/>
  <c r="H139" i="12"/>
  <c r="I139" i="12"/>
  <c r="J139" i="12"/>
  <c r="K139" i="12"/>
  <c r="L139" i="12"/>
  <c r="M139" i="12"/>
  <c r="N139" i="12"/>
  <c r="O139" i="12"/>
  <c r="D140" i="12"/>
  <c r="E140" i="12"/>
  <c r="F140" i="12"/>
  <c r="G140" i="12"/>
  <c r="H140" i="12"/>
  <c r="I140" i="12"/>
  <c r="J140" i="12"/>
  <c r="K140" i="12"/>
  <c r="L140" i="12"/>
  <c r="M140" i="12"/>
  <c r="N140" i="12"/>
  <c r="O140" i="12"/>
  <c r="D141" i="12"/>
  <c r="E141" i="12"/>
  <c r="F141" i="12"/>
  <c r="G141" i="12"/>
  <c r="H141" i="12"/>
  <c r="I141" i="12"/>
  <c r="J141" i="12"/>
  <c r="K141" i="12"/>
  <c r="L141" i="12"/>
  <c r="M141" i="12"/>
  <c r="N141" i="12"/>
  <c r="O141" i="12"/>
  <c r="D142" i="12"/>
  <c r="E142" i="12"/>
  <c r="F142" i="12"/>
  <c r="G142" i="12"/>
  <c r="H142" i="12"/>
  <c r="I142" i="12"/>
  <c r="J142" i="12"/>
  <c r="K142" i="12"/>
  <c r="L142" i="12"/>
  <c r="M142" i="12"/>
  <c r="N142" i="12"/>
  <c r="O142" i="12"/>
  <c r="D143" i="12"/>
  <c r="E143" i="12"/>
  <c r="F143" i="12"/>
  <c r="G143" i="12"/>
  <c r="H143" i="12"/>
  <c r="I143" i="12"/>
  <c r="J143" i="12"/>
  <c r="K143" i="12"/>
  <c r="L143" i="12"/>
  <c r="M143" i="12"/>
  <c r="N143" i="12"/>
  <c r="O143" i="12"/>
  <c r="D144" i="12"/>
  <c r="E144" i="12"/>
  <c r="F144" i="12"/>
  <c r="G144" i="12"/>
  <c r="H144" i="12"/>
  <c r="I144" i="12"/>
  <c r="J144" i="12"/>
  <c r="K144" i="12"/>
  <c r="L144" i="12"/>
  <c r="M144" i="12"/>
  <c r="N144" i="12"/>
  <c r="O144" i="12"/>
  <c r="D145" i="12"/>
  <c r="E145" i="12"/>
  <c r="F145" i="12"/>
  <c r="G145" i="12"/>
  <c r="H145" i="12"/>
  <c r="I145" i="12"/>
  <c r="J145" i="12"/>
  <c r="K145" i="12"/>
  <c r="L145" i="12"/>
  <c r="M145" i="12"/>
  <c r="N145" i="12"/>
  <c r="O145" i="12"/>
  <c r="D146" i="12"/>
  <c r="E146" i="12"/>
  <c r="F146" i="12"/>
  <c r="G146" i="12"/>
  <c r="H146" i="12"/>
  <c r="I146" i="12"/>
  <c r="J146" i="12"/>
  <c r="K146" i="12"/>
  <c r="L146" i="12"/>
  <c r="M146" i="12"/>
  <c r="N146" i="12"/>
  <c r="O146" i="12"/>
  <c r="D147" i="12"/>
  <c r="E147" i="12"/>
  <c r="F147" i="12"/>
  <c r="G147" i="12"/>
  <c r="H147" i="12"/>
  <c r="I147" i="12"/>
  <c r="J147" i="12"/>
  <c r="K147" i="12"/>
  <c r="L147" i="12"/>
  <c r="M147" i="12"/>
  <c r="N147" i="12"/>
  <c r="O147" i="12"/>
  <c r="D148" i="12"/>
  <c r="E148" i="12"/>
  <c r="F148" i="12"/>
  <c r="G148" i="12"/>
  <c r="H148" i="12"/>
  <c r="I148" i="12"/>
  <c r="J148" i="12"/>
  <c r="K148" i="12"/>
  <c r="L148" i="12"/>
  <c r="M148" i="12"/>
  <c r="N148" i="12"/>
  <c r="O148" i="12"/>
  <c r="D149" i="12"/>
  <c r="E149" i="12"/>
  <c r="F149" i="12"/>
  <c r="G149" i="12"/>
  <c r="H149" i="12"/>
  <c r="I149" i="12"/>
  <c r="J149" i="12"/>
  <c r="K149" i="12"/>
  <c r="L149" i="12"/>
  <c r="M149" i="12"/>
  <c r="N149" i="12"/>
  <c r="O149" i="12"/>
  <c r="D150" i="12"/>
  <c r="E150" i="12"/>
  <c r="F150" i="12"/>
  <c r="G150" i="12"/>
  <c r="H150" i="12"/>
  <c r="I150" i="12"/>
  <c r="J150" i="12"/>
  <c r="K150" i="12"/>
  <c r="L150" i="12"/>
  <c r="M150" i="12"/>
  <c r="N150" i="12"/>
  <c r="O150" i="12"/>
  <c r="D151" i="12"/>
  <c r="E151" i="12"/>
  <c r="F151" i="12"/>
  <c r="G151" i="12"/>
  <c r="H151" i="12"/>
  <c r="I151" i="12"/>
  <c r="J151" i="12"/>
  <c r="K151" i="12"/>
  <c r="L151" i="12"/>
  <c r="M151" i="12"/>
  <c r="N151" i="12"/>
  <c r="O151" i="12"/>
  <c r="D152" i="12"/>
  <c r="E152" i="12"/>
  <c r="F152" i="12"/>
  <c r="G152" i="12"/>
  <c r="H152" i="12"/>
  <c r="I152" i="12"/>
  <c r="J152" i="12"/>
  <c r="K152" i="12"/>
  <c r="L152" i="12"/>
  <c r="M152" i="12"/>
  <c r="N152" i="12"/>
  <c r="O152" i="12"/>
  <c r="D153" i="12"/>
  <c r="E153" i="12"/>
  <c r="F153" i="12"/>
  <c r="G153" i="12"/>
  <c r="H153" i="12"/>
  <c r="I153" i="12"/>
  <c r="J153" i="12"/>
  <c r="K153" i="12"/>
  <c r="L153" i="12"/>
  <c r="M153" i="12"/>
  <c r="N153" i="12"/>
  <c r="O153" i="12"/>
  <c r="D154" i="12"/>
  <c r="E154" i="12"/>
  <c r="F154" i="12"/>
  <c r="G154" i="12"/>
  <c r="H154" i="12"/>
  <c r="I154" i="12"/>
  <c r="J154" i="12"/>
  <c r="K154" i="12"/>
  <c r="L154" i="12"/>
  <c r="M154" i="12"/>
  <c r="N154" i="12"/>
  <c r="O154" i="12"/>
  <c r="D155" i="12"/>
  <c r="E155" i="12"/>
  <c r="F155" i="12"/>
  <c r="G155" i="12"/>
  <c r="H155" i="12"/>
  <c r="I155" i="12"/>
  <c r="J155" i="12"/>
  <c r="K155" i="12"/>
  <c r="L155" i="12"/>
  <c r="M155" i="12"/>
  <c r="N155" i="12"/>
  <c r="O155" i="12"/>
  <c r="D156" i="12"/>
  <c r="E156" i="12"/>
  <c r="F156" i="12"/>
  <c r="G156" i="12"/>
  <c r="H156" i="12"/>
  <c r="I156" i="12"/>
  <c r="J156" i="12"/>
  <c r="K156" i="12"/>
  <c r="L156" i="12"/>
  <c r="M156" i="12"/>
  <c r="M86" i="29" s="1"/>
  <c r="N156" i="12"/>
  <c r="O156" i="12"/>
  <c r="D158" i="12"/>
  <c r="E158" i="12"/>
  <c r="F158" i="12"/>
  <c r="G158" i="12"/>
  <c r="H158" i="12"/>
  <c r="I158" i="12"/>
  <c r="J158" i="12"/>
  <c r="K158" i="12"/>
  <c r="L158" i="12"/>
  <c r="M158" i="12"/>
  <c r="N158" i="12"/>
  <c r="O158" i="12"/>
  <c r="E110" i="12"/>
  <c r="F110" i="12"/>
  <c r="G110" i="12"/>
  <c r="H110" i="12"/>
  <c r="I110" i="12"/>
  <c r="J110" i="12"/>
  <c r="K110" i="12"/>
  <c r="L110" i="12"/>
  <c r="M110" i="12"/>
  <c r="N110" i="12"/>
  <c r="O110" i="12"/>
  <c r="F162" i="12" l="1"/>
  <c r="L162" i="12"/>
  <c r="M85" i="29"/>
  <c r="M79" i="29"/>
  <c r="M77" i="29"/>
  <c r="J162" i="12"/>
  <c r="M88" i="29"/>
  <c r="M82" i="29"/>
  <c r="M84" i="29"/>
  <c r="M83" i="29"/>
  <c r="M87" i="29"/>
  <c r="M81" i="29"/>
  <c r="M78" i="29"/>
  <c r="N162" i="12"/>
  <c r="H162" i="12"/>
  <c r="M80" i="29"/>
  <c r="N210" i="12"/>
  <c r="N209" i="12"/>
  <c r="L210" i="12"/>
  <c r="L209" i="12"/>
  <c r="J210" i="12"/>
  <c r="J209" i="12"/>
  <c r="H210" i="12"/>
  <c r="H209" i="12"/>
  <c r="F210" i="12"/>
  <c r="F209" i="12"/>
  <c r="D209" i="12"/>
  <c r="D162" i="12"/>
  <c r="S87" i="29"/>
  <c r="O210" i="12"/>
  <c r="O209" i="12"/>
  <c r="M210" i="12"/>
  <c r="M209" i="12"/>
  <c r="K210" i="12"/>
  <c r="K209" i="12"/>
  <c r="I210" i="12"/>
  <c r="I209" i="12"/>
  <c r="G210" i="12"/>
  <c r="G209" i="12"/>
  <c r="E210" i="12"/>
  <c r="E209" i="12"/>
  <c r="S86" i="29"/>
  <c r="M22" i="15"/>
  <c r="M21" i="15"/>
  <c r="S21" i="15"/>
  <c r="M20" i="15"/>
  <c r="S22" i="15"/>
  <c r="S20" i="15"/>
  <c r="G39" i="15"/>
  <c r="O39" i="15"/>
  <c r="D210" i="12"/>
  <c r="M208" i="12"/>
  <c r="O162" i="12"/>
  <c r="M162" i="12"/>
  <c r="K162" i="12"/>
  <c r="I162" i="12"/>
  <c r="G162" i="12"/>
  <c r="E162" i="12"/>
  <c r="N208" i="12"/>
  <c r="L208" i="12"/>
  <c r="J208" i="12"/>
  <c r="H208" i="12"/>
  <c r="F208" i="12"/>
  <c r="D208" i="12"/>
  <c r="N207" i="12"/>
  <c r="L207" i="12"/>
  <c r="J207" i="12"/>
  <c r="H207" i="12"/>
  <c r="F207" i="12"/>
  <c r="D207" i="12"/>
  <c r="N206" i="12"/>
  <c r="L206" i="12"/>
  <c r="J206" i="12"/>
  <c r="H206" i="12"/>
  <c r="F206" i="12"/>
  <c r="D206" i="12"/>
  <c r="N205" i="12"/>
  <c r="L205" i="12"/>
  <c r="J205" i="12"/>
  <c r="H205" i="12"/>
  <c r="F205" i="12"/>
  <c r="D205" i="12"/>
  <c r="N204" i="12"/>
  <c r="L204" i="12"/>
  <c r="J204" i="12"/>
  <c r="H204" i="12"/>
  <c r="F204" i="12"/>
  <c r="D204" i="12"/>
  <c r="N203" i="12"/>
  <c r="L203" i="12"/>
  <c r="J203" i="12"/>
  <c r="H203" i="12"/>
  <c r="F203" i="12"/>
  <c r="D203" i="12"/>
  <c r="N202" i="12"/>
  <c r="L202" i="12"/>
  <c r="J202" i="12"/>
  <c r="H202" i="12"/>
  <c r="F202" i="12"/>
  <c r="D202" i="12"/>
  <c r="N201" i="12"/>
  <c r="L201" i="12"/>
  <c r="J201" i="12"/>
  <c r="O208" i="12"/>
  <c r="K208" i="12"/>
  <c r="I208" i="12"/>
  <c r="G208" i="12"/>
  <c r="E208" i="12"/>
  <c r="O207" i="12"/>
  <c r="M207" i="12"/>
  <c r="K207" i="12"/>
  <c r="I207" i="12"/>
  <c r="G207" i="12"/>
  <c r="E207" i="12"/>
  <c r="O206" i="12"/>
  <c r="M206" i="12"/>
  <c r="K206" i="12"/>
  <c r="I206" i="12"/>
  <c r="G206" i="12"/>
  <c r="E206" i="12"/>
  <c r="O205" i="12"/>
  <c r="M205" i="12"/>
  <c r="K205" i="12"/>
  <c r="I205" i="12"/>
  <c r="G205" i="12"/>
  <c r="E205" i="12"/>
  <c r="O204" i="12"/>
  <c r="M204" i="12"/>
  <c r="K204" i="12"/>
  <c r="I204" i="12"/>
  <c r="G204" i="12"/>
  <c r="E204" i="12"/>
  <c r="O203" i="12"/>
  <c r="M203" i="12"/>
  <c r="K203" i="12"/>
  <c r="I203" i="12"/>
  <c r="G203" i="12"/>
  <c r="E203" i="12"/>
  <c r="O202" i="12"/>
  <c r="M202" i="12"/>
  <c r="K202" i="12"/>
  <c r="I202" i="12"/>
  <c r="G202" i="12"/>
  <c r="E202" i="12"/>
  <c r="O201" i="12"/>
  <c r="M201" i="12"/>
  <c r="K201" i="12"/>
  <c r="I201" i="12"/>
  <c r="G201" i="12"/>
  <c r="E201" i="12"/>
  <c r="O200" i="12"/>
  <c r="M200" i="12"/>
  <c r="K200" i="12"/>
  <c r="I200" i="12"/>
  <c r="G200" i="12"/>
  <c r="E200" i="12"/>
  <c r="O199" i="12"/>
  <c r="M199" i="12"/>
  <c r="K199" i="12"/>
  <c r="I199" i="12"/>
  <c r="G199" i="12"/>
  <c r="E199" i="12"/>
  <c r="O198" i="12"/>
  <c r="H201" i="12"/>
  <c r="F201" i="12"/>
  <c r="D201" i="12"/>
  <c r="N200" i="12"/>
  <c r="L200" i="12"/>
  <c r="J200" i="12"/>
  <c r="H200" i="12"/>
  <c r="F200" i="12"/>
  <c r="D200" i="12"/>
  <c r="N199" i="12"/>
  <c r="L199" i="12"/>
  <c r="J199" i="12"/>
  <c r="H199" i="12"/>
  <c r="F199" i="12"/>
  <c r="D199" i="12"/>
  <c r="N198" i="12"/>
  <c r="L198" i="12"/>
  <c r="J198" i="12"/>
  <c r="H198" i="12"/>
  <c r="F198" i="12"/>
  <c r="D198" i="12"/>
  <c r="N197" i="12"/>
  <c r="L197" i="12"/>
  <c r="J197" i="12"/>
  <c r="H197" i="12"/>
  <c r="F197" i="12"/>
  <c r="D197" i="12"/>
  <c r="N196" i="12"/>
  <c r="L196" i="12"/>
  <c r="J196" i="12"/>
  <c r="H196" i="12"/>
  <c r="F196" i="12"/>
  <c r="D196" i="12"/>
  <c r="N195" i="12"/>
  <c r="L195" i="12"/>
  <c r="J195" i="12"/>
  <c r="H195" i="12"/>
  <c r="F195" i="12"/>
  <c r="D195" i="12"/>
  <c r="N194" i="12"/>
  <c r="M19" i="15"/>
  <c r="L194" i="12"/>
  <c r="M17" i="15"/>
  <c r="J194" i="12"/>
  <c r="M15" i="15"/>
  <c r="H194" i="12"/>
  <c r="M13" i="15"/>
  <c r="F194" i="12"/>
  <c r="M11" i="15"/>
  <c r="D194" i="12"/>
  <c r="N193" i="12"/>
  <c r="L193" i="12"/>
  <c r="J193" i="12"/>
  <c r="H193" i="12"/>
  <c r="F193" i="12"/>
  <c r="D193" i="12"/>
  <c r="N192" i="12"/>
  <c r="L192" i="12"/>
  <c r="J192" i="12"/>
  <c r="H192" i="12"/>
  <c r="F192" i="12"/>
  <c r="D192" i="12"/>
  <c r="N191" i="12"/>
  <c r="L191" i="12"/>
  <c r="J191" i="12"/>
  <c r="H191" i="12"/>
  <c r="F191" i="12"/>
  <c r="D191" i="12"/>
  <c r="N190" i="12"/>
  <c r="L190" i="12"/>
  <c r="J190" i="12"/>
  <c r="H190" i="12"/>
  <c r="F190" i="12"/>
  <c r="D190" i="12"/>
  <c r="N189" i="12"/>
  <c r="L189" i="12"/>
  <c r="J189" i="12"/>
  <c r="H189" i="12"/>
  <c r="F189" i="12"/>
  <c r="D189" i="12"/>
  <c r="N188" i="12"/>
  <c r="L188" i="12"/>
  <c r="J188" i="12"/>
  <c r="H188" i="12"/>
  <c r="F188" i="12"/>
  <c r="D188" i="12"/>
  <c r="N187" i="12"/>
  <c r="L187" i="12"/>
  <c r="J187" i="12"/>
  <c r="H187" i="12"/>
  <c r="F187" i="12"/>
  <c r="D187" i="12"/>
  <c r="N186" i="12"/>
  <c r="L186" i="12"/>
  <c r="J186" i="12"/>
  <c r="H186" i="12"/>
  <c r="F186" i="12"/>
  <c r="D186" i="12"/>
  <c r="N185" i="12"/>
  <c r="L185" i="12"/>
  <c r="J185" i="12"/>
  <c r="H185" i="12"/>
  <c r="F185" i="12"/>
  <c r="D185" i="12"/>
  <c r="N184" i="12"/>
  <c r="L184" i="12"/>
  <c r="J184" i="12"/>
  <c r="H184" i="12"/>
  <c r="F184" i="12"/>
  <c r="D184" i="12"/>
  <c r="N183" i="12"/>
  <c r="L183" i="12"/>
  <c r="J102" i="29" s="1"/>
  <c r="J183" i="12"/>
  <c r="H102" i="29" s="1"/>
  <c r="H183" i="12"/>
  <c r="F183" i="12"/>
  <c r="D183" i="12"/>
  <c r="N182" i="12"/>
  <c r="L182" i="12"/>
  <c r="J182" i="12"/>
  <c r="H182" i="12"/>
  <c r="F182" i="12"/>
  <c r="D182" i="12"/>
  <c r="N181" i="12"/>
  <c r="L181" i="12"/>
  <c r="J181" i="12"/>
  <c r="H181" i="12"/>
  <c r="F101" i="29" s="1"/>
  <c r="F181" i="12"/>
  <c r="D101" i="29" s="1"/>
  <c r="D181" i="12"/>
  <c r="B101" i="29" s="1"/>
  <c r="N180" i="12"/>
  <c r="L180" i="12"/>
  <c r="J180" i="12"/>
  <c r="H180" i="12"/>
  <c r="F180" i="12"/>
  <c r="D180" i="12"/>
  <c r="N179" i="12"/>
  <c r="L179" i="12"/>
  <c r="J179" i="12"/>
  <c r="H179" i="12"/>
  <c r="F179" i="12"/>
  <c r="D179" i="12"/>
  <c r="N178" i="12"/>
  <c r="L178" i="12"/>
  <c r="J178" i="12"/>
  <c r="H178" i="12"/>
  <c r="F178" i="12"/>
  <c r="D178" i="12"/>
  <c r="N177" i="12"/>
  <c r="S19" i="15"/>
  <c r="L177" i="12"/>
  <c r="S17" i="15"/>
  <c r="J177" i="12"/>
  <c r="S15" i="15"/>
  <c r="H177" i="12"/>
  <c r="S13" i="15"/>
  <c r="F177" i="12"/>
  <c r="S11" i="15"/>
  <c r="D177" i="12"/>
  <c r="N176" i="12"/>
  <c r="L176" i="12"/>
  <c r="J176" i="12"/>
  <c r="H176" i="12"/>
  <c r="F176" i="12"/>
  <c r="D176" i="12"/>
  <c r="N175" i="12"/>
  <c r="L175" i="12"/>
  <c r="J175" i="12"/>
  <c r="H175" i="12"/>
  <c r="F175" i="12"/>
  <c r="D175" i="12"/>
  <c r="N174" i="12"/>
  <c r="L174" i="12"/>
  <c r="J174" i="12"/>
  <c r="H174" i="12"/>
  <c r="F174" i="12"/>
  <c r="D174" i="12"/>
  <c r="N173" i="12"/>
  <c r="L173" i="12"/>
  <c r="J173" i="12"/>
  <c r="H173" i="12"/>
  <c r="F173" i="12"/>
  <c r="D173" i="12"/>
  <c r="N172" i="12"/>
  <c r="L172" i="12"/>
  <c r="J172" i="12"/>
  <c r="H172" i="12"/>
  <c r="F172" i="12"/>
  <c r="D172" i="12"/>
  <c r="M198" i="12"/>
  <c r="K198" i="12"/>
  <c r="I198" i="12"/>
  <c r="G198" i="12"/>
  <c r="E198" i="12"/>
  <c r="O197" i="12"/>
  <c r="M197" i="12"/>
  <c r="K197" i="12"/>
  <c r="I197" i="12"/>
  <c r="G197" i="12"/>
  <c r="E197" i="12"/>
  <c r="O196" i="12"/>
  <c r="M196" i="12"/>
  <c r="K196" i="12"/>
  <c r="I196" i="12"/>
  <c r="G196" i="12"/>
  <c r="E196" i="12"/>
  <c r="O195" i="12"/>
  <c r="M195" i="12"/>
  <c r="K195" i="12"/>
  <c r="I195" i="12"/>
  <c r="G195" i="12"/>
  <c r="E195" i="12"/>
  <c r="O194" i="12"/>
  <c r="M194" i="12"/>
  <c r="M18" i="15"/>
  <c r="K194" i="12"/>
  <c r="M16" i="15"/>
  <c r="I194" i="12"/>
  <c r="M14" i="15"/>
  <c r="G194" i="12"/>
  <c r="M12" i="15"/>
  <c r="E194" i="12"/>
  <c r="O193" i="12"/>
  <c r="M193" i="12"/>
  <c r="K193" i="12"/>
  <c r="I193" i="12"/>
  <c r="G193" i="12"/>
  <c r="E193" i="12"/>
  <c r="O192" i="12"/>
  <c r="M192" i="12"/>
  <c r="K192" i="12"/>
  <c r="I192" i="12"/>
  <c r="G192" i="12"/>
  <c r="E192" i="12"/>
  <c r="O191" i="12"/>
  <c r="M191" i="12"/>
  <c r="K191" i="12"/>
  <c r="I191" i="12"/>
  <c r="G191" i="12"/>
  <c r="E191" i="12"/>
  <c r="O190" i="12"/>
  <c r="M190" i="12"/>
  <c r="K190" i="12"/>
  <c r="I190" i="12"/>
  <c r="G190" i="12"/>
  <c r="E190" i="12"/>
  <c r="O189" i="12"/>
  <c r="M189" i="12"/>
  <c r="K189" i="12"/>
  <c r="I189" i="12"/>
  <c r="G189" i="12"/>
  <c r="E189" i="12"/>
  <c r="O188" i="12"/>
  <c r="M188" i="12"/>
  <c r="K188" i="12"/>
  <c r="I188" i="12"/>
  <c r="G188" i="12"/>
  <c r="E188" i="12"/>
  <c r="O187" i="12"/>
  <c r="M187" i="12"/>
  <c r="K187" i="12"/>
  <c r="I187" i="12"/>
  <c r="G187" i="12"/>
  <c r="E187" i="12"/>
  <c r="O186" i="12"/>
  <c r="M186" i="12"/>
  <c r="K186" i="12"/>
  <c r="I186" i="12"/>
  <c r="G186" i="12"/>
  <c r="E186" i="12"/>
  <c r="O185" i="12"/>
  <c r="M185" i="12"/>
  <c r="K185" i="12"/>
  <c r="I185" i="12"/>
  <c r="G185" i="12"/>
  <c r="E185" i="12"/>
  <c r="O184" i="12"/>
  <c r="M184" i="12"/>
  <c r="K184" i="12"/>
  <c r="I184" i="12"/>
  <c r="G184" i="12"/>
  <c r="E184" i="12"/>
  <c r="O183" i="12"/>
  <c r="M183" i="12"/>
  <c r="K183" i="12"/>
  <c r="I183" i="12"/>
  <c r="G183" i="12"/>
  <c r="E183" i="12"/>
  <c r="C102" i="29" s="1"/>
  <c r="O182" i="12"/>
  <c r="M182" i="12"/>
  <c r="K182" i="12"/>
  <c r="I182" i="12"/>
  <c r="G182" i="12"/>
  <c r="E182" i="12"/>
  <c r="O181" i="12"/>
  <c r="M181" i="12"/>
  <c r="K181" i="12"/>
  <c r="I101" i="29" s="1"/>
  <c r="I181" i="12"/>
  <c r="G101" i="29" s="1"/>
  <c r="G181" i="12"/>
  <c r="E101" i="29" s="1"/>
  <c r="E181" i="12"/>
  <c r="O180" i="12"/>
  <c r="M180" i="12"/>
  <c r="K180" i="12"/>
  <c r="I180" i="12"/>
  <c r="G180" i="12"/>
  <c r="E180" i="12"/>
  <c r="O179" i="12"/>
  <c r="M179" i="12"/>
  <c r="K179" i="12"/>
  <c r="I179" i="12"/>
  <c r="G179" i="12"/>
  <c r="E179" i="12"/>
  <c r="O178" i="12"/>
  <c r="M178" i="12"/>
  <c r="K178" i="12"/>
  <c r="I178" i="12"/>
  <c r="G178" i="12"/>
  <c r="E178" i="12"/>
  <c r="O177" i="12"/>
  <c r="M177" i="12"/>
  <c r="S18" i="15"/>
  <c r="K177" i="12"/>
  <c r="S16" i="15"/>
  <c r="I177" i="12"/>
  <c r="S14" i="15"/>
  <c r="G177" i="12"/>
  <c r="S12" i="15"/>
  <c r="E177" i="12"/>
  <c r="O176" i="12"/>
  <c r="M176" i="12"/>
  <c r="K176" i="12"/>
  <c r="I176" i="12"/>
  <c r="G176" i="12"/>
  <c r="E176" i="12"/>
  <c r="O175" i="12"/>
  <c r="M175" i="12"/>
  <c r="K175" i="12"/>
  <c r="I175" i="12"/>
  <c r="G175" i="12"/>
  <c r="E175" i="12"/>
  <c r="O174" i="12"/>
  <c r="M174" i="12"/>
  <c r="K174" i="12"/>
  <c r="I174" i="12"/>
  <c r="G174" i="12"/>
  <c r="E174" i="12"/>
  <c r="O173" i="12"/>
  <c r="M173" i="12"/>
  <c r="K173" i="12"/>
  <c r="I173" i="12"/>
  <c r="G173" i="12"/>
  <c r="E173" i="12"/>
  <c r="O172" i="12"/>
  <c r="M172" i="12"/>
  <c r="K172" i="12"/>
  <c r="I172" i="12"/>
  <c r="G172" i="12"/>
  <c r="E172" i="12"/>
  <c r="O171" i="12"/>
  <c r="M171" i="12"/>
  <c r="K171" i="12"/>
  <c r="I171" i="12"/>
  <c r="G171" i="12"/>
  <c r="E171" i="12"/>
  <c r="O170" i="12"/>
  <c r="M170" i="12"/>
  <c r="K170" i="12"/>
  <c r="I170" i="12"/>
  <c r="G170" i="12"/>
  <c r="E170" i="12"/>
  <c r="O169" i="12"/>
  <c r="M169" i="12"/>
  <c r="K169" i="12"/>
  <c r="I169" i="12"/>
  <c r="G169" i="12"/>
  <c r="E169" i="12"/>
  <c r="O168" i="12"/>
  <c r="M168" i="12"/>
  <c r="K168" i="12"/>
  <c r="I168" i="12"/>
  <c r="G168" i="12"/>
  <c r="E168" i="12"/>
  <c r="O167" i="12"/>
  <c r="M167" i="12"/>
  <c r="K167" i="12"/>
  <c r="I167" i="12"/>
  <c r="G167" i="12"/>
  <c r="E167" i="12"/>
  <c r="O166" i="12"/>
  <c r="M166" i="12"/>
  <c r="K166" i="12"/>
  <c r="I166" i="12"/>
  <c r="G166" i="12"/>
  <c r="E166" i="12"/>
  <c r="O165" i="12"/>
  <c r="M165" i="12"/>
  <c r="K165" i="12"/>
  <c r="I165" i="12"/>
  <c r="G165" i="12"/>
  <c r="E165" i="12"/>
  <c r="O164" i="12"/>
  <c r="M164" i="12"/>
  <c r="K164" i="12"/>
  <c r="I164" i="12"/>
  <c r="G164" i="12"/>
  <c r="E164" i="12"/>
  <c r="O163" i="12"/>
  <c r="M163" i="12"/>
  <c r="K163" i="12"/>
  <c r="I163" i="12"/>
  <c r="G163" i="12"/>
  <c r="E163" i="12"/>
  <c r="N171" i="12"/>
  <c r="L171" i="12"/>
  <c r="J171" i="12"/>
  <c r="H171" i="12"/>
  <c r="F171" i="12"/>
  <c r="D171" i="12"/>
  <c r="N170" i="12"/>
  <c r="L170" i="12"/>
  <c r="J170" i="12"/>
  <c r="H170" i="12"/>
  <c r="F170" i="12"/>
  <c r="D170" i="12"/>
  <c r="N169" i="12"/>
  <c r="L169" i="12"/>
  <c r="J169" i="12"/>
  <c r="H169" i="12"/>
  <c r="F169" i="12"/>
  <c r="D169" i="12"/>
  <c r="N168" i="12"/>
  <c r="L168" i="12"/>
  <c r="J168" i="12"/>
  <c r="H168" i="12"/>
  <c r="F168" i="12"/>
  <c r="D168" i="12"/>
  <c r="N167" i="12"/>
  <c r="L167" i="12"/>
  <c r="J167" i="12"/>
  <c r="H167" i="12"/>
  <c r="F167" i="12"/>
  <c r="D167" i="12"/>
  <c r="N166" i="12"/>
  <c r="L166" i="12"/>
  <c r="J166" i="12"/>
  <c r="H166" i="12"/>
  <c r="F166" i="12"/>
  <c r="D166" i="12"/>
  <c r="N165" i="12"/>
  <c r="L165" i="12"/>
  <c r="J165" i="12"/>
  <c r="H165" i="12"/>
  <c r="F165" i="12"/>
  <c r="D165" i="12"/>
  <c r="N164" i="12"/>
  <c r="L102" i="29" s="1"/>
  <c r="L164" i="12"/>
  <c r="J164" i="12"/>
  <c r="H164" i="12"/>
  <c r="F164" i="12"/>
  <c r="D164" i="12"/>
  <c r="N163" i="12"/>
  <c r="L163" i="12"/>
  <c r="J163" i="12"/>
  <c r="H163" i="12"/>
  <c r="F163" i="12"/>
  <c r="D163" i="12"/>
  <c r="E102" i="29" l="1"/>
  <c r="G102" i="29"/>
  <c r="B102" i="29"/>
  <c r="I102" i="29"/>
  <c r="D102" i="29"/>
  <c r="F102" i="29"/>
  <c r="K102" i="29"/>
  <c r="C101" i="29"/>
  <c r="J101" i="29"/>
  <c r="H101" i="29"/>
  <c r="M102" i="29"/>
  <c r="M101" i="29"/>
  <c r="K101" i="29"/>
  <c r="L101" i="29"/>
  <c r="C29" i="15"/>
  <c r="E29" i="15"/>
  <c r="G29" i="15"/>
  <c r="I29" i="15"/>
  <c r="C28" i="15"/>
  <c r="E28" i="15"/>
  <c r="G28" i="15"/>
  <c r="I28" i="15"/>
  <c r="B28" i="15"/>
  <c r="D28" i="15"/>
  <c r="F28" i="15"/>
  <c r="H28" i="15"/>
  <c r="J28" i="15"/>
  <c r="B29" i="15"/>
  <c r="D29" i="15"/>
  <c r="F29" i="15"/>
  <c r="H29" i="15"/>
  <c r="J29" i="15"/>
  <c r="L29" i="15"/>
  <c r="L28" i="15"/>
  <c r="M29" i="15"/>
  <c r="K29" i="15"/>
  <c r="M28" i="15"/>
  <c r="K28" i="15"/>
  <c r="D60" i="10"/>
  <c r="D61" i="10"/>
  <c r="D59" i="10"/>
  <c r="D58" i="10"/>
  <c r="D57" i="10"/>
  <c r="D56" i="10"/>
  <c r="D55" i="10"/>
  <c r="D54" i="10"/>
  <c r="D53" i="10"/>
  <c r="D52" i="10"/>
  <c r="D51" i="10"/>
  <c r="D50" i="10"/>
  <c r="G69" i="9"/>
  <c r="G80" i="9"/>
  <c r="G79" i="9"/>
  <c r="G78" i="9"/>
  <c r="G77" i="9"/>
  <c r="G76" i="9"/>
  <c r="G75" i="9"/>
  <c r="G74" i="9"/>
  <c r="G73" i="9"/>
  <c r="G72" i="9"/>
  <c r="G71" i="9"/>
  <c r="G70" i="9"/>
  <c r="N132" i="16" l="1"/>
  <c r="N131" i="16"/>
  <c r="A82" i="4" l="1"/>
  <c r="B83" i="4" s="1"/>
  <c r="I75" i="4"/>
  <c r="I74" i="4"/>
  <c r="I73" i="4"/>
  <c r="I72" i="4"/>
  <c r="I71" i="4"/>
  <c r="I70" i="4"/>
  <c r="I69" i="4"/>
  <c r="I68" i="4"/>
  <c r="I67" i="4"/>
  <c r="I66" i="4"/>
  <c r="I65" i="4"/>
  <c r="I64" i="4"/>
  <c r="I63" i="4"/>
  <c r="I62" i="4"/>
  <c r="F84" i="4" l="1"/>
  <c r="F85" i="4"/>
  <c r="F86" i="4"/>
  <c r="F87" i="4"/>
  <c r="F88" i="4"/>
  <c r="F89" i="4"/>
  <c r="F90" i="4"/>
  <c r="F91" i="4"/>
  <c r="F92" i="4"/>
  <c r="E83" i="4"/>
  <c r="E84" i="4"/>
  <c r="E85" i="4"/>
  <c r="E86" i="4"/>
  <c r="E87" i="4"/>
  <c r="E88" i="4"/>
  <c r="E89" i="4"/>
  <c r="E90" i="4"/>
  <c r="E91" i="4"/>
  <c r="E92" i="4"/>
  <c r="F83" i="4"/>
  <c r="C91" i="4"/>
  <c r="C89" i="4"/>
  <c r="C87" i="4"/>
  <c r="A72" i="7" s="1"/>
  <c r="C85" i="4"/>
  <c r="A70" i="7" s="1"/>
  <c r="C83" i="4"/>
  <c r="A68" i="7" s="1"/>
  <c r="C92" i="4"/>
  <c r="C90" i="4"/>
  <c r="C88" i="4"/>
  <c r="C86" i="4"/>
  <c r="A71" i="7" s="1"/>
  <c r="C84" i="4"/>
  <c r="A69" i="7" s="1"/>
  <c r="D83" i="4"/>
  <c r="G83" i="4" s="1"/>
  <c r="K70" i="7"/>
  <c r="K68" i="7"/>
  <c r="K71" i="7"/>
  <c r="M84" i="4"/>
  <c r="P84" i="4" s="1"/>
  <c r="M92" i="4"/>
  <c r="P92" i="4" s="1"/>
  <c r="M91" i="4"/>
  <c r="P91" i="4" s="1"/>
  <c r="M90" i="4"/>
  <c r="P90" i="4" s="1"/>
  <c r="M89" i="4"/>
  <c r="P89" i="4" s="1"/>
  <c r="M88" i="4"/>
  <c r="P88" i="4" s="1"/>
  <c r="M87" i="4"/>
  <c r="P87" i="4" s="1"/>
  <c r="M86" i="4"/>
  <c r="P86" i="4" s="1"/>
  <c r="K85" i="4"/>
  <c r="M85" i="4"/>
  <c r="P85" i="4" s="1"/>
  <c r="K72" i="7"/>
  <c r="K69" i="7"/>
  <c r="M83" i="4"/>
  <c r="K84" i="4"/>
  <c r="K92" i="4"/>
  <c r="K91" i="4"/>
  <c r="K90" i="4"/>
  <c r="K89" i="4"/>
  <c r="K88" i="4"/>
  <c r="K87" i="4"/>
  <c r="K86" i="4"/>
  <c r="K83" i="4"/>
  <c r="B85" i="4"/>
  <c r="D85" i="4"/>
  <c r="B87" i="4"/>
  <c r="D87" i="4"/>
  <c r="B89" i="4"/>
  <c r="D89" i="4"/>
  <c r="G89" i="4" s="1"/>
  <c r="B91" i="4"/>
  <c r="D91" i="4"/>
  <c r="G91" i="4" s="1"/>
  <c r="B84" i="4"/>
  <c r="D84" i="4"/>
  <c r="B86" i="4"/>
  <c r="D86" i="4"/>
  <c r="B88" i="4"/>
  <c r="D88" i="4"/>
  <c r="G88" i="4" s="1"/>
  <c r="B90" i="4"/>
  <c r="D90" i="4"/>
  <c r="G90" i="4" s="1"/>
  <c r="B92" i="4"/>
  <c r="D92" i="4"/>
  <c r="G92" i="4" s="1"/>
  <c r="P83" i="4" l="1"/>
  <c r="S68" i="7" s="1"/>
  <c r="Q68" i="7"/>
  <c r="Q70" i="7"/>
  <c r="S70" i="7"/>
  <c r="Q72" i="7"/>
  <c r="S72" i="7"/>
  <c r="S69" i="7"/>
  <c r="Q69" i="7"/>
  <c r="Q71" i="7"/>
  <c r="S71" i="7"/>
  <c r="G86" i="4"/>
  <c r="I71" i="7" s="1"/>
  <c r="G71" i="7"/>
  <c r="G84" i="4"/>
  <c r="I69" i="7" s="1"/>
  <c r="G69" i="7"/>
  <c r="G87" i="4"/>
  <c r="I72" i="7" s="1"/>
  <c r="G72" i="7"/>
  <c r="G85" i="4"/>
  <c r="I70" i="7" s="1"/>
  <c r="G70" i="7"/>
  <c r="I68" i="7"/>
  <c r="G68" i="7"/>
  <c r="P14" i="7" l="1"/>
  <c r="P16" i="7" l="1"/>
  <c r="N59" i="14"/>
  <c r="L59" i="14"/>
  <c r="K59" i="14"/>
  <c r="M59" i="14"/>
  <c r="J59" i="14"/>
  <c r="O42" i="15"/>
  <c r="O43" i="15" l="1"/>
  <c r="O41" i="15"/>
  <c r="O59" i="14"/>
  <c r="G40" i="15"/>
  <c r="O44" i="15"/>
  <c r="G43" i="15" l="1"/>
  <c r="G44" i="15"/>
  <c r="G42" i="15"/>
  <c r="G41" i="15"/>
  <c r="O40" i="15"/>
  <c r="M71" i="14"/>
  <c r="N71" i="14"/>
  <c r="L71" i="14"/>
  <c r="K71" i="14"/>
  <c r="L69" i="14"/>
  <c r="N69" i="14"/>
  <c r="M69" i="14"/>
  <c r="K69" i="14"/>
  <c r="M73" i="14"/>
  <c r="K73" i="14"/>
  <c r="L73" i="14"/>
  <c r="N73" i="14"/>
  <c r="M60" i="14"/>
  <c r="N60" i="14"/>
  <c r="L60" i="14"/>
  <c r="K60" i="14"/>
  <c r="K62" i="14"/>
  <c r="N62" i="14"/>
  <c r="M62" i="14"/>
  <c r="L62" i="14"/>
  <c r="L68" i="14"/>
  <c r="N68" i="14"/>
  <c r="M68" i="14"/>
  <c r="K68" i="14"/>
  <c r="L70" i="14"/>
  <c r="K70" i="14"/>
  <c r="M70" i="14"/>
  <c r="N70" i="14"/>
  <c r="L67" i="14"/>
  <c r="M67" i="14"/>
  <c r="K67" i="14"/>
  <c r="O67" i="14" s="1"/>
  <c r="N67" i="14"/>
  <c r="L63" i="14"/>
  <c r="N63" i="14"/>
  <c r="M63" i="14"/>
  <c r="K63" i="14"/>
  <c r="N64" i="14"/>
  <c r="L64" i="14"/>
  <c r="M64" i="14"/>
  <c r="K64" i="14"/>
  <c r="M65" i="14"/>
  <c r="N65" i="14"/>
  <c r="L65" i="14"/>
  <c r="K65" i="14"/>
  <c r="N72" i="14"/>
  <c r="K72" i="14"/>
  <c r="M72" i="14"/>
  <c r="L72" i="14"/>
  <c r="N66" i="14"/>
  <c r="K66" i="14"/>
  <c r="L66" i="14"/>
  <c r="M66" i="14"/>
  <c r="J70" i="14"/>
  <c r="J65" i="14"/>
  <c r="J62" i="14"/>
  <c r="J66" i="14"/>
  <c r="J61" i="14"/>
  <c r="J72" i="14"/>
  <c r="N61" i="14"/>
  <c r="J63" i="14"/>
  <c r="J64" i="14"/>
  <c r="L61" i="14"/>
  <c r="J73" i="14"/>
  <c r="O73" i="14" s="1"/>
  <c r="J69" i="14"/>
  <c r="J60" i="14"/>
  <c r="K61" i="14"/>
  <c r="M61" i="14"/>
  <c r="J68" i="14"/>
  <c r="J71" i="14"/>
  <c r="J67" i="14"/>
  <c r="O68" i="14" l="1"/>
  <c r="O71" i="14"/>
  <c r="O63" i="14"/>
  <c r="O64" i="14"/>
  <c r="O70" i="29"/>
  <c r="O60" i="14"/>
  <c r="O69" i="14"/>
  <c r="O72" i="14"/>
  <c r="O62" i="14"/>
  <c r="O70" i="14"/>
  <c r="O66" i="14"/>
  <c r="O65" i="14"/>
  <c r="O61" i="14"/>
  <c r="K74" i="14"/>
  <c r="N74" i="14"/>
  <c r="L74" i="14"/>
  <c r="M74" i="14"/>
  <c r="K81" i="14"/>
  <c r="O81" i="14" s="1"/>
  <c r="L81" i="14"/>
  <c r="N81" i="14"/>
  <c r="M81" i="14"/>
  <c r="N75" i="14"/>
  <c r="M75" i="14"/>
  <c r="K75" i="14"/>
  <c r="L75" i="14"/>
  <c r="M78" i="14"/>
  <c r="G69" i="29" s="1"/>
  <c r="K78" i="14"/>
  <c r="G67" i="29" s="1"/>
  <c r="L78" i="14"/>
  <c r="G68" i="29" s="1"/>
  <c r="N78" i="14"/>
  <c r="G70" i="29" s="1"/>
  <c r="M80" i="14"/>
  <c r="O69" i="29" s="1"/>
  <c r="L80" i="14"/>
  <c r="K80" i="14"/>
  <c r="N80" i="14"/>
  <c r="L87" i="14"/>
  <c r="M87" i="14"/>
  <c r="N87" i="14"/>
  <c r="K87" i="14"/>
  <c r="L86" i="14"/>
  <c r="M86" i="14"/>
  <c r="N86" i="14"/>
  <c r="K86" i="14"/>
  <c r="K79" i="14"/>
  <c r="O79" i="14" s="1"/>
  <c r="M79" i="14"/>
  <c r="N79" i="14"/>
  <c r="L79" i="14"/>
  <c r="N88" i="14"/>
  <c r="K88" i="14"/>
  <c r="L88" i="14"/>
  <c r="O88" i="14" s="1"/>
  <c r="M88" i="14"/>
  <c r="N84" i="14"/>
  <c r="K84" i="14"/>
  <c r="M84" i="14"/>
  <c r="L84" i="14"/>
  <c r="K77" i="14"/>
  <c r="M77" i="14"/>
  <c r="N77" i="14"/>
  <c r="L77" i="14"/>
  <c r="K83" i="14"/>
  <c r="N83" i="14"/>
  <c r="L83" i="14"/>
  <c r="M83" i="14"/>
  <c r="J83" i="14"/>
  <c r="M82" i="14"/>
  <c r="L82" i="14"/>
  <c r="N82" i="14"/>
  <c r="K82" i="14"/>
  <c r="O82" i="14" s="1"/>
  <c r="N85" i="14"/>
  <c r="K85" i="14"/>
  <c r="M85" i="14"/>
  <c r="L85" i="14"/>
  <c r="N76" i="14"/>
  <c r="K76" i="14"/>
  <c r="O76" i="14" s="1"/>
  <c r="M76" i="14"/>
  <c r="L76" i="14"/>
  <c r="J87" i="14"/>
  <c r="J80" i="14"/>
  <c r="O66" i="29" s="1"/>
  <c r="J78" i="14"/>
  <c r="J82" i="14"/>
  <c r="J79" i="14"/>
  <c r="J74" i="14"/>
  <c r="J86" i="14"/>
  <c r="J84" i="14"/>
  <c r="O84" i="14" s="1"/>
  <c r="J77" i="14"/>
  <c r="J88" i="14"/>
  <c r="J76" i="14"/>
  <c r="J75" i="14"/>
  <c r="O75" i="14" s="1"/>
  <c r="J85" i="14"/>
  <c r="J81" i="14"/>
  <c r="K107" i="14"/>
  <c r="O107" i="14" s="1"/>
  <c r="L107" i="14"/>
  <c r="N107" i="14"/>
  <c r="M107" i="14"/>
  <c r="J107" i="14"/>
  <c r="O78" i="14" l="1"/>
  <c r="G66" i="29"/>
  <c r="O67" i="29"/>
  <c r="O80" i="14"/>
  <c r="O74" i="14"/>
  <c r="O77" i="14"/>
  <c r="O83" i="14"/>
  <c r="O86" i="14"/>
  <c r="O85" i="14"/>
  <c r="O87" i="14"/>
  <c r="O68"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Anne DELAGE</author>
    <author>Thomas DALFARRA</author>
  </authors>
  <commentList>
    <comment ref="C4" authorId="0" shapeId="0" xr:uid="{00000000-0006-0000-0200-000001000000}">
      <text>
        <r>
          <rPr>
            <b/>
            <sz val="9"/>
            <color indexed="81"/>
            <rFont val="Tahoma"/>
            <family val="2"/>
          </rPr>
          <t>Thomas DAL FARRA:</t>
        </r>
        <r>
          <rPr>
            <sz val="9"/>
            <color indexed="81"/>
            <rFont val="Tahoma"/>
            <family val="2"/>
          </rPr>
          <t xml:space="preserve">
</t>
        </r>
        <r>
          <rPr>
            <sz val="9"/>
            <color indexed="10"/>
            <rFont val="Tahoma"/>
            <family val="2"/>
          </rPr>
          <t>Expl Principale</t>
        </r>
        <r>
          <rPr>
            <sz val="9"/>
            <color indexed="81"/>
            <rFont val="Tahoma"/>
            <family val="2"/>
          </rPr>
          <t xml:space="preserve">
Au lieu de résidence</t>
        </r>
      </text>
    </comment>
    <comment ref="D4" authorId="0" shapeId="0" xr:uid="{00000000-0006-0000-0200-000002000000}">
      <text>
        <r>
          <rPr>
            <b/>
            <sz val="9"/>
            <color indexed="81"/>
            <rFont val="Tahoma"/>
            <family val="2"/>
          </rPr>
          <t>Thomas DAL FARRA:</t>
        </r>
        <r>
          <rPr>
            <sz val="9"/>
            <color indexed="81"/>
            <rFont val="Tahoma"/>
            <family val="2"/>
          </rPr>
          <t xml:space="preserve">
</t>
        </r>
        <r>
          <rPr>
            <sz val="9"/>
            <color indexed="10"/>
            <rFont val="Tahoma"/>
            <family val="2"/>
          </rPr>
          <t>Expl Principale</t>
        </r>
        <r>
          <rPr>
            <sz val="9"/>
            <color indexed="81"/>
            <rFont val="Tahoma"/>
            <family val="2"/>
          </rPr>
          <t xml:space="preserve">
Au lieu de résidence</t>
        </r>
      </text>
    </comment>
    <comment ref="I4" authorId="1" shapeId="0" xr:uid="{00000000-0006-0000-0200-000003000000}">
      <text>
        <r>
          <rPr>
            <b/>
            <sz val="9"/>
            <color indexed="81"/>
            <rFont val="Tahoma"/>
            <family val="2"/>
          </rPr>
          <t>Thomas DALFARRA:</t>
        </r>
        <r>
          <rPr>
            <sz val="9"/>
            <color indexed="81"/>
            <rFont val="Tahoma"/>
            <family val="2"/>
          </rPr>
          <t xml:space="preserve">
Revenu déclaré par UC
</t>
        </r>
      </text>
    </comment>
    <comment ref="K4" authorId="0" shapeId="0" xr:uid="{00000000-0006-0000-0200-000004000000}">
      <text>
        <r>
          <rPr>
            <b/>
            <sz val="9"/>
            <color indexed="81"/>
            <rFont val="Tahoma"/>
            <family val="2"/>
          </rPr>
          <t>Anne DELAGE:</t>
        </r>
        <r>
          <rPr>
            <sz val="9"/>
            <color indexed="81"/>
            <rFont val="Tahoma"/>
            <family val="2"/>
          </rPr>
          <t xml:space="preserve">
</t>
        </r>
        <r>
          <rPr>
            <sz val="9"/>
            <color indexed="10"/>
            <rFont val="Tahoma"/>
            <family val="2"/>
          </rPr>
          <t>Expl Principale</t>
        </r>
        <r>
          <rPr>
            <sz val="9"/>
            <color indexed="81"/>
            <rFont val="Tahoma"/>
            <family val="2"/>
          </rPr>
          <t xml:space="preserve">
Au lieu de résidence</t>
        </r>
      </text>
    </comment>
    <comment ref="L4" authorId="0" shapeId="0" xr:uid="{00000000-0006-0000-0200-000005000000}">
      <text>
        <r>
          <rPr>
            <b/>
            <sz val="9"/>
            <color indexed="81"/>
            <rFont val="Tahoma"/>
            <family val="2"/>
          </rPr>
          <t>Anne DELAGE:</t>
        </r>
        <r>
          <rPr>
            <sz val="9"/>
            <color indexed="81"/>
            <rFont val="Tahoma"/>
            <family val="2"/>
          </rPr>
          <t xml:space="preserve">
</t>
        </r>
        <r>
          <rPr>
            <sz val="9"/>
            <color indexed="10"/>
            <rFont val="Tahoma"/>
            <family val="2"/>
          </rPr>
          <t>Expl Principale</t>
        </r>
        <r>
          <rPr>
            <sz val="9"/>
            <color indexed="81"/>
            <rFont val="Tahoma"/>
            <family val="2"/>
          </rPr>
          <t xml:space="preserve">
Au lieu de résidence</t>
        </r>
      </text>
    </comment>
    <comment ref="M4" authorId="0" shapeId="0" xr:uid="{00000000-0006-0000-0200-000006000000}">
      <text>
        <r>
          <rPr>
            <b/>
            <sz val="9"/>
            <color indexed="81"/>
            <rFont val="Tahoma"/>
            <family val="2"/>
          </rPr>
          <t>Anne DELAGE:</t>
        </r>
        <r>
          <rPr>
            <sz val="9"/>
            <color indexed="81"/>
            <rFont val="Tahoma"/>
            <family val="2"/>
          </rPr>
          <t xml:space="preserve">
Expl Compl
Au lieu de résidence</t>
        </r>
      </text>
    </comment>
    <comment ref="N4" authorId="0" shapeId="0" xr:uid="{00000000-0006-0000-0200-000007000000}">
      <text>
        <r>
          <rPr>
            <b/>
            <sz val="9"/>
            <color indexed="81"/>
            <rFont val="Tahoma"/>
            <family val="2"/>
          </rPr>
          <t>Anne DELAGE:</t>
        </r>
        <r>
          <rPr>
            <sz val="9"/>
            <color indexed="81"/>
            <rFont val="Tahoma"/>
            <family val="2"/>
          </rPr>
          <t xml:space="preserve">
Expl Compl
Au lieu de résidence</t>
        </r>
      </text>
    </comment>
    <comment ref="O4" authorId="0" shapeId="0" xr:uid="{00000000-0006-0000-0200-000008000000}">
      <text>
        <r>
          <rPr>
            <b/>
            <sz val="9"/>
            <color indexed="81"/>
            <rFont val="Tahoma"/>
            <family val="2"/>
          </rPr>
          <t>Anne DELAGE:</t>
        </r>
        <r>
          <rPr>
            <sz val="9"/>
            <color indexed="81"/>
            <rFont val="Tahoma"/>
            <family val="2"/>
          </rPr>
          <t xml:space="preserve">
Expl Compl
Au lieu de résidence</t>
        </r>
      </text>
    </comment>
    <comment ref="P4" authorId="0" shapeId="0" xr:uid="{00000000-0006-0000-0200-000009000000}">
      <text>
        <r>
          <rPr>
            <b/>
            <sz val="9"/>
            <color indexed="81"/>
            <rFont val="Tahoma"/>
            <family val="2"/>
          </rPr>
          <t>Anne DELAGE:</t>
        </r>
        <r>
          <rPr>
            <sz val="9"/>
            <color indexed="81"/>
            <rFont val="Tahoma"/>
            <family val="2"/>
          </rPr>
          <t xml:space="preserve">
Expl Compl
Au lieu de résidence</t>
        </r>
      </text>
    </comment>
    <comment ref="Q4" authorId="0" shapeId="0" xr:uid="{00000000-0006-0000-0200-00000A000000}">
      <text>
        <r>
          <rPr>
            <b/>
            <sz val="9"/>
            <color indexed="81"/>
            <rFont val="Tahoma"/>
            <family val="2"/>
          </rPr>
          <t>Anne DELAGE:</t>
        </r>
        <r>
          <rPr>
            <sz val="9"/>
            <color indexed="81"/>
            <rFont val="Tahoma"/>
            <family val="2"/>
          </rPr>
          <t xml:space="preserve">
Expl Compl
Au lieu de résidence</t>
        </r>
      </text>
    </comment>
    <comment ref="R4" authorId="0" shapeId="0" xr:uid="{00000000-0006-0000-0200-00000B000000}">
      <text>
        <r>
          <rPr>
            <b/>
            <sz val="9"/>
            <color indexed="81"/>
            <rFont val="Tahoma"/>
            <family val="2"/>
          </rPr>
          <t>Anne DELAGE:</t>
        </r>
        <r>
          <rPr>
            <sz val="9"/>
            <color indexed="81"/>
            <rFont val="Tahoma"/>
            <family val="2"/>
          </rPr>
          <t xml:space="preserve">
Expl Compl
Au lieu de résidence</t>
        </r>
      </text>
    </comment>
    <comment ref="S4" authorId="0" shapeId="0" xr:uid="{00000000-0006-0000-0200-00000C000000}">
      <text>
        <r>
          <rPr>
            <b/>
            <sz val="9"/>
            <color indexed="81"/>
            <rFont val="Tahoma"/>
            <family val="2"/>
          </rPr>
          <t>Anne DELAGE:</t>
        </r>
        <r>
          <rPr>
            <sz val="9"/>
            <color indexed="81"/>
            <rFont val="Tahoma"/>
            <family val="2"/>
          </rPr>
          <t xml:space="preserve">
</t>
        </r>
        <r>
          <rPr>
            <sz val="9"/>
            <color indexed="10"/>
            <rFont val="Tahoma"/>
            <family val="2"/>
          </rPr>
          <t>Expl Principale</t>
        </r>
        <r>
          <rPr>
            <sz val="9"/>
            <color indexed="81"/>
            <rFont val="Tahoma"/>
            <family val="2"/>
          </rPr>
          <t xml:space="preserve">
Au lieu de résidence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Anne DELAGE</author>
  </authors>
  <commentList>
    <comment ref="M5" authorId="0" shapeId="0" xr:uid="{00000000-0006-0000-0300-000001000000}">
      <text>
        <r>
          <rPr>
            <b/>
            <sz val="9"/>
            <color indexed="81"/>
            <rFont val="Tahoma"/>
            <family val="2"/>
          </rPr>
          <t>Anne DELAGE:</t>
        </r>
        <r>
          <rPr>
            <sz val="9"/>
            <color indexed="81"/>
            <rFont val="Tahoma"/>
            <family val="2"/>
          </rPr>
          <t xml:space="preserve">
Expl Complementaire
</t>
        </r>
      </text>
    </comment>
    <comment ref="N5" authorId="0" shapeId="0" xr:uid="{00000000-0006-0000-0300-000002000000}">
      <text>
        <r>
          <rPr>
            <b/>
            <sz val="9"/>
            <color indexed="81"/>
            <rFont val="Tahoma"/>
            <family val="2"/>
          </rPr>
          <t>Anne DELAGE:</t>
        </r>
        <r>
          <rPr>
            <sz val="9"/>
            <color indexed="81"/>
            <rFont val="Tahoma"/>
            <family val="2"/>
          </rPr>
          <t xml:space="preserve">
Expl Complementaire</t>
        </r>
      </text>
    </comment>
    <comment ref="O5" authorId="0" shapeId="0" xr:uid="{00000000-0006-0000-0300-000003000000}">
      <text>
        <r>
          <rPr>
            <b/>
            <sz val="9"/>
            <color indexed="81"/>
            <rFont val="Tahoma"/>
            <family val="2"/>
          </rPr>
          <t>Anne DELAGE:</t>
        </r>
        <r>
          <rPr>
            <sz val="9"/>
            <color indexed="81"/>
            <rFont val="Tahoma"/>
            <family val="2"/>
          </rPr>
          <t xml:space="preserve">
Expl Complementaire</t>
        </r>
      </text>
    </comment>
    <comment ref="P5" authorId="0" shapeId="0" xr:uid="{00000000-0006-0000-0300-000004000000}">
      <text>
        <r>
          <rPr>
            <b/>
            <sz val="9"/>
            <color indexed="81"/>
            <rFont val="Tahoma"/>
            <family val="2"/>
          </rPr>
          <t>Anne DELAGE:</t>
        </r>
        <r>
          <rPr>
            <sz val="9"/>
            <color indexed="81"/>
            <rFont val="Tahoma"/>
            <family val="2"/>
          </rPr>
          <t xml:space="preserve">
Expl Complementaire</t>
        </r>
      </text>
    </comment>
    <comment ref="R5" authorId="0" shapeId="0" xr:uid="{00000000-0006-0000-0300-000005000000}">
      <text>
        <r>
          <rPr>
            <b/>
            <sz val="9"/>
            <color indexed="81"/>
            <rFont val="Tahoma"/>
            <family val="2"/>
          </rPr>
          <t>Anne DELAGE:</t>
        </r>
        <r>
          <rPr>
            <sz val="9"/>
            <color indexed="81"/>
            <rFont val="Tahoma"/>
            <family val="2"/>
          </rPr>
          <t xml:space="preserve">
Expl Complementaire</t>
        </r>
      </text>
    </comment>
    <comment ref="S5" authorId="0" shapeId="0" xr:uid="{00000000-0006-0000-0300-000006000000}">
      <text>
        <r>
          <rPr>
            <b/>
            <sz val="9"/>
            <color indexed="81"/>
            <rFont val="Tahoma"/>
            <family val="2"/>
          </rPr>
          <t>Anne DELAGE:</t>
        </r>
        <r>
          <rPr>
            <sz val="9"/>
            <color indexed="81"/>
            <rFont val="Tahoma"/>
            <family val="2"/>
          </rPr>
          <t xml:space="preserve">
Expl Complementaire</t>
        </r>
      </text>
    </comment>
    <comment ref="T5" authorId="0" shapeId="0" xr:uid="{00000000-0006-0000-0300-000007000000}">
      <text>
        <r>
          <rPr>
            <b/>
            <sz val="9"/>
            <color indexed="81"/>
            <rFont val="Tahoma"/>
            <family val="2"/>
          </rPr>
          <t>Anne DELAGE:</t>
        </r>
        <r>
          <rPr>
            <sz val="9"/>
            <color indexed="81"/>
            <rFont val="Tahoma"/>
            <family val="2"/>
          </rPr>
          <t xml:space="preserve">
Expl Complementaire</t>
        </r>
      </text>
    </comment>
    <comment ref="U5" authorId="0" shapeId="0" xr:uid="{00000000-0006-0000-0300-000008000000}">
      <text>
        <r>
          <rPr>
            <b/>
            <sz val="9"/>
            <color indexed="81"/>
            <rFont val="Tahoma"/>
            <family val="2"/>
          </rPr>
          <t>Anne DELAGE:</t>
        </r>
        <r>
          <rPr>
            <sz val="9"/>
            <color indexed="81"/>
            <rFont val="Tahoma"/>
            <family val="2"/>
          </rPr>
          <t xml:space="preserve">
Expl Complementaire</t>
        </r>
      </text>
    </comment>
    <comment ref="W5" authorId="0" shapeId="0" xr:uid="{00000000-0006-0000-0300-000009000000}">
      <text>
        <r>
          <rPr>
            <b/>
            <sz val="9"/>
            <color indexed="81"/>
            <rFont val="Tahoma"/>
            <family val="2"/>
          </rPr>
          <t>Anne DELAGE:</t>
        </r>
        <r>
          <rPr>
            <sz val="9"/>
            <color indexed="81"/>
            <rFont val="Tahoma"/>
            <family val="2"/>
          </rPr>
          <t xml:space="preserve">
Expl Principale
Au lieu de résidence</t>
        </r>
      </text>
    </comment>
    <comment ref="X5" authorId="0" shapeId="0" xr:uid="{00000000-0006-0000-0300-00000A000000}">
      <text>
        <r>
          <rPr>
            <b/>
            <sz val="9"/>
            <color indexed="81"/>
            <rFont val="Tahoma"/>
            <family val="2"/>
          </rPr>
          <t>Anne DELAGE:</t>
        </r>
        <r>
          <rPr>
            <sz val="9"/>
            <color indexed="81"/>
            <rFont val="Tahoma"/>
            <family val="2"/>
          </rPr>
          <t xml:space="preserve">
Expl Principale
Au lieu de résidence</t>
        </r>
      </text>
    </comment>
    <comment ref="Y5" authorId="0" shapeId="0" xr:uid="{00000000-0006-0000-0300-00000B000000}">
      <text>
        <r>
          <rPr>
            <sz val="9"/>
            <color indexed="81"/>
            <rFont val="Tahoma"/>
            <family val="2"/>
          </rPr>
          <t xml:space="preserve">A partir de 2013, l'intégration du montant des cotisations patronales aux complémentaires santé obligatoires, due au changement législatif entraîne une forte évolution du salaire net.
L'Insee a rétropolé les données 2012, elles sont maintenant comparables !
</t>
        </r>
      </text>
    </comment>
    <comment ref="AG5" authorId="0" shapeId="0" xr:uid="{00000000-0006-0000-0300-00000C000000}">
      <text>
        <r>
          <rPr>
            <sz val="9"/>
            <color indexed="81"/>
            <rFont val="Tahoma"/>
            <family val="2"/>
          </rPr>
          <t xml:space="preserve">A partir de 2013, l'intégration du montant des cotisations patronales aux complémentaires santé obligatoires, due au changement législatif entraîne une forte évolution du salaire net.
L'Insee a rétropolé les données 2012, elles sont maintenant comparables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Anne DELAGE</author>
  </authors>
  <commentList>
    <comment ref="R58" authorId="0" shapeId="0" xr:uid="{00000000-0006-0000-0B00-000001000000}">
      <text>
        <r>
          <rPr>
            <b/>
            <sz val="9"/>
            <color indexed="81"/>
            <rFont val="Tahoma"/>
            <family val="2"/>
          </rPr>
          <t>Anne DELAGE:</t>
        </r>
        <r>
          <rPr>
            <sz val="9"/>
            <color indexed="81"/>
            <rFont val="Tahoma"/>
            <family val="2"/>
          </rPr>
          <t xml:space="preserve">
Regroupées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Anne DELAGE</author>
  </authors>
  <commentList>
    <comment ref="L12" authorId="0" shapeId="0" xr:uid="{00000000-0006-0000-1700-000001000000}">
      <text>
        <r>
          <rPr>
            <sz val="9"/>
            <color indexed="81"/>
            <rFont val="Tahoma"/>
            <family val="2"/>
          </rPr>
          <t>évolution sur 5 ans</t>
        </r>
      </text>
    </comment>
    <comment ref="R12" authorId="0" shapeId="0" xr:uid="{00000000-0006-0000-1700-000002000000}">
      <text>
        <r>
          <rPr>
            <sz val="9"/>
            <color indexed="81"/>
            <rFont val="Tahoma"/>
            <family val="2"/>
          </rPr>
          <t xml:space="preserve">évolution 
sur 5 ans
</t>
        </r>
      </text>
    </comment>
  </commentList>
</comments>
</file>

<file path=xl/sharedStrings.xml><?xml version="1.0" encoding="utf-8"?>
<sst xmlns="http://schemas.openxmlformats.org/spreadsheetml/2006/main" count="7058" uniqueCount="2059">
  <si>
    <t>Population active</t>
  </si>
  <si>
    <t>Marseille</t>
  </si>
  <si>
    <t>Bordeaux</t>
  </si>
  <si>
    <t>Répartition des actifs occupés</t>
  </si>
  <si>
    <t>Niveau de qualification</t>
  </si>
  <si>
    <t>7204</t>
  </si>
  <si>
    <t>ZE Bordeaux</t>
  </si>
  <si>
    <t>8210</t>
  </si>
  <si>
    <t>ZE Grenoble</t>
  </si>
  <si>
    <t>3111</t>
  </si>
  <si>
    <t>ZE Lille</t>
  </si>
  <si>
    <t>8214</t>
  </si>
  <si>
    <t>ZE Lyon</t>
  </si>
  <si>
    <t>9310</t>
  </si>
  <si>
    <t>9111</t>
  </si>
  <si>
    <t>ZE Montpellier</t>
  </si>
  <si>
    <t>5203</t>
  </si>
  <si>
    <t>ZE Nantes</t>
  </si>
  <si>
    <t>9307</t>
  </si>
  <si>
    <t>ZE Nice</t>
  </si>
  <si>
    <t>5312</t>
  </si>
  <si>
    <t>ZE Rennes</t>
  </si>
  <si>
    <t>2307</t>
  </si>
  <si>
    <t>ZE Rouen</t>
  </si>
  <si>
    <t>4205</t>
  </si>
  <si>
    <t>ZE Strasbourg</t>
  </si>
  <si>
    <t>0061</t>
  </si>
  <si>
    <t>ZE Toulouse</t>
  </si>
  <si>
    <t>002</t>
  </si>
  <si>
    <t>AU Lyon</t>
  </si>
  <si>
    <t>003</t>
  </si>
  <si>
    <t>004</t>
  </si>
  <si>
    <t>AU Toulouse</t>
  </si>
  <si>
    <t>005</t>
  </si>
  <si>
    <t>AU Lille</t>
  </si>
  <si>
    <t>006</t>
  </si>
  <si>
    <t>007</t>
  </si>
  <si>
    <t>AU Nice</t>
  </si>
  <si>
    <t>008</t>
  </si>
  <si>
    <t>AU Nantes</t>
  </si>
  <si>
    <t>009</t>
  </si>
  <si>
    <t>AU Strasbourg</t>
  </si>
  <si>
    <t>010</t>
  </si>
  <si>
    <t>AU Grenoble</t>
  </si>
  <si>
    <t>011</t>
  </si>
  <si>
    <t>AU Rennes</t>
  </si>
  <si>
    <t>012</t>
  </si>
  <si>
    <t>AU Rouen</t>
  </si>
  <si>
    <t>015</t>
  </si>
  <si>
    <t>AU Montpellier</t>
  </si>
  <si>
    <t>Population N-1</t>
  </si>
  <si>
    <t>9315</t>
  </si>
  <si>
    <t>Num-Géo</t>
  </si>
  <si>
    <t>Lib Géo</t>
  </si>
  <si>
    <t>ZE Marseille - Aubagne</t>
  </si>
  <si>
    <t>ZE Toulon</t>
  </si>
  <si>
    <t>013</t>
  </si>
  <si>
    <t>014</t>
  </si>
  <si>
    <t>016</t>
  </si>
  <si>
    <t>AU Marseille - Aix-en-Provence</t>
  </si>
  <si>
    <t>AU Lille (partie française)</t>
  </si>
  <si>
    <t>AU Bordeaux</t>
  </si>
  <si>
    <t>AU Strasbourg (partie française)</t>
  </si>
  <si>
    <t>AU Toulon</t>
  </si>
  <si>
    <t>AU Douai - Lens</t>
  </si>
  <si>
    <t>AU Avignon</t>
  </si>
  <si>
    <t xml:space="preserve">Attention : </t>
  </si>
  <si>
    <t>Population N-2</t>
  </si>
  <si>
    <t>Superficie</t>
  </si>
  <si>
    <t>243300316</t>
  </si>
  <si>
    <t>Bordeaux Métropole</t>
  </si>
  <si>
    <t>33</t>
  </si>
  <si>
    <t>GIRONDE</t>
  </si>
  <si>
    <t>72</t>
  </si>
  <si>
    <t>Aquitaine</t>
  </si>
  <si>
    <t>Metr</t>
  </si>
  <si>
    <t>Act occ CS1</t>
  </si>
  <si>
    <t>Act occ CS2</t>
  </si>
  <si>
    <t>Act occ CS3</t>
  </si>
  <si>
    <t>Act occ CS4</t>
  </si>
  <si>
    <t>Act occ CS5</t>
  </si>
  <si>
    <t>Act occ CS6</t>
  </si>
  <si>
    <t>Actif 15-64 ans</t>
  </si>
  <si>
    <t>Pop 15 - 64 ans</t>
  </si>
  <si>
    <t>Pop 15 ans ou plus non scolarisée</t>
  </si>
  <si>
    <t>CAP-BEP</t>
  </si>
  <si>
    <t>BAC-Bpro</t>
  </si>
  <si>
    <t>3122</t>
  </si>
  <si>
    <t>0059</t>
  </si>
  <si>
    <t>ZE Avignon</t>
  </si>
  <si>
    <t>Emploi salarié privé acoss</t>
  </si>
  <si>
    <t>Total</t>
  </si>
  <si>
    <t xml:space="preserve">Actifs occupés </t>
  </si>
  <si>
    <t>Autres salariés</t>
  </si>
  <si>
    <t>Cdd</t>
  </si>
  <si>
    <t>Cdi</t>
  </si>
  <si>
    <t>Non salariés</t>
  </si>
  <si>
    <t>Autres salariés TP</t>
  </si>
  <si>
    <t>Cdd TP</t>
  </si>
  <si>
    <t>Cdi TP</t>
  </si>
  <si>
    <t>Non salariés TP</t>
  </si>
  <si>
    <t>Total TP</t>
  </si>
  <si>
    <t>Salaire horaire net moyen</t>
  </si>
  <si>
    <t>2009</t>
  </si>
  <si>
    <t>2010</t>
  </si>
  <si>
    <t>2011</t>
  </si>
  <si>
    <t>2012</t>
  </si>
  <si>
    <t>2013</t>
  </si>
  <si>
    <t>2014</t>
  </si>
  <si>
    <t>2015</t>
  </si>
  <si>
    <t>Rouen</t>
  </si>
  <si>
    <t>DPAE</t>
  </si>
  <si>
    <t>TRIM</t>
  </si>
  <si>
    <t>CDI</t>
  </si>
  <si>
    <t>Gironde</t>
  </si>
  <si>
    <t>DEFM BORDEAUX METROPOLE</t>
  </si>
  <si>
    <t>Age / Ancienneté d`inscription</t>
  </si>
  <si>
    <t>DEFM cat A</t>
  </si>
  <si>
    <t>−25 ans</t>
  </si>
  <si>
    <t>25 à 49 ans</t>
  </si>
  <si>
    <t>50 ans et +</t>
  </si>
  <si>
    <t>TOTAL</t>
  </si>
  <si>
    <t>&lt; 6 mois</t>
  </si>
  <si>
    <t>36 mois et +</t>
  </si>
  <si>
    <t>METIERS RECHERCHES</t>
  </si>
  <si>
    <t>AGRICULTURE ET PÊCHE, ESPACES NATURELS ET ESPACES VERTS, SOINS AUX ANIMAUX</t>
  </si>
  <si>
    <t>ARTS ET FACONNAGE D'OUVRAGES D'ART</t>
  </si>
  <si>
    <t>BANQUE, ASSURANCE, IMMOBILIER</t>
  </si>
  <si>
    <t>COMMERCE, VENTE ET GRANDE DISTRIBUTION</t>
  </si>
  <si>
    <t>COMMUNICATION, MEDIA ET MULTIMEDIA</t>
  </si>
  <si>
    <t>CONSTRUCTION, BÂTIMENT ET TRAVAUX PUBLICS</t>
  </si>
  <si>
    <t>HÔTELLERIE- RESTAURATION TOURISME LOISIRS ET ANIMATION</t>
  </si>
  <si>
    <t>INDUSTRIE</t>
  </si>
  <si>
    <t>INSTALLATION ET MAINTENANCE</t>
  </si>
  <si>
    <t>SANTE</t>
  </si>
  <si>
    <t>SERVICES A LA PERSONNE ET A LA COLLECTIVITE</t>
  </si>
  <si>
    <t>SPECTACLE</t>
  </si>
  <si>
    <t>SUPPORT A L'ENTREPRISE</t>
  </si>
  <si>
    <t>TRANSPORT ET LOGISTIQUE</t>
  </si>
  <si>
    <t>non Déterminé</t>
  </si>
  <si>
    <t>Taux de chomage trimestriel - Insee / Dares - http://www.insee.fr/fr/themes/detail.asp?reg_id=99&amp;ref_id=chomage-zone-2010</t>
  </si>
  <si>
    <t>Code bassin 2015</t>
  </si>
  <si>
    <t>Nom bassin 2015</t>
  </si>
  <si>
    <t>Nom Departement</t>
  </si>
  <si>
    <t>Nom Region</t>
  </si>
  <si>
    <t>Projets de recrutement totaux</t>
  </si>
  <si>
    <t>Projets de recrutement difficiles</t>
  </si>
  <si>
    <t>Projets de recrutement saisonniers</t>
  </si>
  <si>
    <t>ROUEN</t>
  </si>
  <si>
    <t>SEINE-MARITIME</t>
  </si>
  <si>
    <t>LILLE</t>
  </si>
  <si>
    <t>NORD</t>
  </si>
  <si>
    <t>LENS</t>
  </si>
  <si>
    <t>PAS-DE-CALAIS</t>
  </si>
  <si>
    <t>STRASBOURG</t>
  </si>
  <si>
    <t>BAS-RHIN</t>
  </si>
  <si>
    <t>5220</t>
  </si>
  <si>
    <t>NANTES</t>
  </si>
  <si>
    <t>LOIRE-ATLANTIQUE</t>
  </si>
  <si>
    <t>5314</t>
  </si>
  <si>
    <t>RENNES</t>
  </si>
  <si>
    <t>ILLE-ET-VILAINE</t>
  </si>
  <si>
    <t>TOULOUSE</t>
  </si>
  <si>
    <t>HAUTE-GARONNE</t>
  </si>
  <si>
    <t>GRENOBLE</t>
  </si>
  <si>
    <t>ISÈRE</t>
  </si>
  <si>
    <t>RHÔNE</t>
  </si>
  <si>
    <t>MONTPELLIER</t>
  </si>
  <si>
    <t>HÉRAULT</t>
  </si>
  <si>
    <t>9304</t>
  </si>
  <si>
    <t>ALPES-MARITIMES</t>
  </si>
  <si>
    <t>9306</t>
  </si>
  <si>
    <t>MARSEILLE</t>
  </si>
  <si>
    <t>BOUCHES-DU-RHÔNE</t>
  </si>
  <si>
    <t>9311</t>
  </si>
  <si>
    <t>VAR</t>
  </si>
  <si>
    <t>9313</t>
  </si>
  <si>
    <t>VAUCLUSE</t>
  </si>
  <si>
    <t>DEFM Bordeaux Métropole (envoi contact Manue)</t>
  </si>
  <si>
    <t>DPAE : Juin 2015 (Envoi contact Manue)</t>
  </si>
  <si>
    <t>RRP 2012 / Acoss 2007 - 2014 / http://www.acoss.fr/home.html</t>
  </si>
  <si>
    <t>Rang</t>
  </si>
  <si>
    <t>Métier</t>
  </si>
  <si>
    <t>Libellé du métier</t>
  </si>
  <si>
    <t>S2Z61</t>
  </si>
  <si>
    <t>S1Z20</t>
  </si>
  <si>
    <t>S2Z60</t>
  </si>
  <si>
    <t>Employés de l'hôtellerie</t>
  </si>
  <si>
    <t>V5Z81</t>
  </si>
  <si>
    <t>U1Z91</t>
  </si>
  <si>
    <t>R1Z62</t>
  </si>
  <si>
    <t>S1Z40</t>
  </si>
  <si>
    <t>Cuisiniers</t>
  </si>
  <si>
    <t>T2A60</t>
  </si>
  <si>
    <t>T3Z61</t>
  </si>
  <si>
    <t>L2Z60</t>
  </si>
  <si>
    <t>L2Z61</t>
  </si>
  <si>
    <t>R0Z60</t>
  </si>
  <si>
    <t>R0Z61</t>
  </si>
  <si>
    <t>J0Z20</t>
  </si>
  <si>
    <t>V0Z60</t>
  </si>
  <si>
    <t>T4Z60</t>
  </si>
  <si>
    <t>R1Z60</t>
  </si>
  <si>
    <t>Vendeurs en produits alimentaires</t>
  </si>
  <si>
    <t>R2Z80</t>
  </si>
  <si>
    <t>J3Z42</t>
  </si>
  <si>
    <t>L0Z60</t>
  </si>
  <si>
    <t>U1Z80</t>
  </si>
  <si>
    <t>Professionnels des spectacles</t>
  </si>
  <si>
    <t>V1Z80</t>
  </si>
  <si>
    <t>A1Z41</t>
  </si>
  <si>
    <t>R1Z67</t>
  </si>
  <si>
    <t>Télévendeurs</t>
  </si>
  <si>
    <t>T4Z61</t>
  </si>
  <si>
    <t>Agents de services hospitaliers</t>
  </si>
  <si>
    <t>J3Z43</t>
  </si>
  <si>
    <t>V4Z83</t>
  </si>
  <si>
    <t>Educateurs spécialisés</t>
  </si>
  <si>
    <t>A0Z40</t>
  </si>
  <si>
    <t>Agriculteurs salariés, ouvriers agricoles</t>
  </si>
  <si>
    <t>T2B60</t>
  </si>
  <si>
    <t>Assistantes maternelles</t>
  </si>
  <si>
    <t>J1Z40</t>
  </si>
  <si>
    <t>N0Z90</t>
  </si>
  <si>
    <t>A1Z40</t>
  </si>
  <si>
    <t>Maraîchers, horticulteurs salariés</t>
  </si>
  <si>
    <t>A1Z42</t>
  </si>
  <si>
    <t>M2Z90</t>
  </si>
  <si>
    <t>E0Z21</t>
  </si>
  <si>
    <t>Pdiff</t>
  </si>
  <si>
    <t>Psaison</t>
  </si>
  <si>
    <t>Test Graph</t>
  </si>
  <si>
    <t>ID_DEP</t>
  </si>
  <si>
    <t>NOM_DEP</t>
  </si>
  <si>
    <t>Alpes-Maritimes</t>
  </si>
  <si>
    <t>Bouches-du-Rhône</t>
  </si>
  <si>
    <t>Haute-Garonne</t>
  </si>
  <si>
    <t>Hérault</t>
  </si>
  <si>
    <t>Ille-et-Vilaine</t>
  </si>
  <si>
    <t>Isère</t>
  </si>
  <si>
    <t>Loire-Atlantique</t>
  </si>
  <si>
    <t>Nord</t>
  </si>
  <si>
    <t>Bas-Rhin</t>
  </si>
  <si>
    <t>Rhône</t>
  </si>
  <si>
    <t>Seine-Maritime</t>
  </si>
  <si>
    <t>Var</t>
  </si>
  <si>
    <t>Vaucluse</t>
  </si>
  <si>
    <t>Pas-de-Calais</t>
  </si>
  <si>
    <t>Offes APEC Mai 2014 / Juin 2015 - Source a-urba</t>
  </si>
  <si>
    <t>Total 5 métiers les + demandés</t>
  </si>
  <si>
    <t>Part dans BMO Total</t>
  </si>
  <si>
    <t>Id_géo</t>
  </si>
  <si>
    <t>Lib_Géo</t>
  </si>
  <si>
    <t>AU Marseille - Aix</t>
  </si>
  <si>
    <t>06</t>
  </si>
  <si>
    <t>13</t>
  </si>
  <si>
    <t>31</t>
  </si>
  <si>
    <t>34</t>
  </si>
  <si>
    <t>35</t>
  </si>
  <si>
    <t>38</t>
  </si>
  <si>
    <t>44</t>
  </si>
  <si>
    <t>59</t>
  </si>
  <si>
    <t>62</t>
  </si>
  <si>
    <t>67</t>
  </si>
  <si>
    <t>69</t>
  </si>
  <si>
    <t>76</t>
  </si>
  <si>
    <t>83</t>
  </si>
  <si>
    <t>84</t>
  </si>
  <si>
    <t>Données</t>
  </si>
  <si>
    <t>dept</t>
  </si>
  <si>
    <t>Fmetr</t>
  </si>
  <si>
    <t>France</t>
  </si>
  <si>
    <t>Demographie d'entreprises / Insee / Sirene -  http://www.insee.fr/fr/themes/detail.asp?reg_id=99&amp;ref_id=etab-com</t>
  </si>
  <si>
    <t>Région</t>
  </si>
  <si>
    <t>Caractéristiques des entreprises</t>
  </si>
  <si>
    <t>Agriculture, sylviculture et pêche</t>
  </si>
  <si>
    <t>Industries manufacturières, industries extractives et autres</t>
  </si>
  <si>
    <t>Construction</t>
  </si>
  <si>
    <t>Commerce ; réparation d'automobiles et de motocycles</t>
  </si>
  <si>
    <t>Transport et entreposage</t>
  </si>
  <si>
    <t>Hébergement et restauration</t>
  </si>
  <si>
    <t>Information et communication</t>
  </si>
  <si>
    <t>Activités financières et d'assurance</t>
  </si>
  <si>
    <t>Activités immobilières</t>
  </si>
  <si>
    <t>Activités scientifiques et techniques ; services administratifs et de soutien</t>
  </si>
  <si>
    <t>Administration publique, enseignement, santé humaine et action sociale</t>
  </si>
  <si>
    <t>Autres activités de services</t>
  </si>
  <si>
    <t>Languedoc-Roussillon</t>
  </si>
  <si>
    <t xml:space="preserve">Midi-Pyrénées </t>
  </si>
  <si>
    <t xml:space="preserve">Pays de la Loire </t>
  </si>
  <si>
    <t>Provence-Alpes-Côte d'Azur</t>
  </si>
  <si>
    <t>Rhône-Alpes</t>
  </si>
  <si>
    <t xml:space="preserve">Alsace </t>
  </si>
  <si>
    <t>Nord-Pas-de-Calais</t>
  </si>
  <si>
    <t xml:space="preserve">Bretagne </t>
  </si>
  <si>
    <t>AZ</t>
  </si>
  <si>
    <t>=DE+C1+C2+C3+C4+C5</t>
  </si>
  <si>
    <t>FZ</t>
  </si>
  <si>
    <t>GZ</t>
  </si>
  <si>
    <t>HZ</t>
  </si>
  <si>
    <t>IZ</t>
  </si>
  <si>
    <t>JZ</t>
  </si>
  <si>
    <t>KZ</t>
  </si>
  <si>
    <t>LZ</t>
  </si>
  <si>
    <t>MN</t>
  </si>
  <si>
    <t>OQ</t>
  </si>
  <si>
    <t>RU</t>
  </si>
  <si>
    <t>Année</t>
  </si>
  <si>
    <t>trafic annuel passagers &gt; 100 000</t>
  </si>
  <si>
    <t>Nb Passager</t>
  </si>
  <si>
    <t>low cost</t>
  </si>
  <si>
    <t>lignes régulière</t>
  </si>
  <si>
    <t>Paris Charles de Gaulle</t>
  </si>
  <si>
    <t xml:space="preserve">Paris - Orly  </t>
  </si>
  <si>
    <t xml:space="preserve">Nice Côte d'Azur </t>
  </si>
  <si>
    <t xml:space="preserve">Lyon-Saint Exupéry </t>
  </si>
  <si>
    <t xml:space="preserve">Marseille Provence </t>
  </si>
  <si>
    <t xml:space="preserve">Toulouse - Blagnac  </t>
  </si>
  <si>
    <t>Bâle - Mulhouse</t>
  </si>
  <si>
    <t xml:space="preserve">Bordeaux  </t>
  </si>
  <si>
    <t xml:space="preserve">Nantes Atlantique  </t>
  </si>
  <si>
    <t xml:space="preserve">Beauvais - Tillé </t>
  </si>
  <si>
    <t xml:space="preserve">Lille - Lesquin </t>
  </si>
  <si>
    <t xml:space="preserve">Montpellier Méditerranée  </t>
  </si>
  <si>
    <t xml:space="preserve">Paris Charles de Gaulle </t>
  </si>
  <si>
    <t xml:space="preserve">Paris - Orly </t>
  </si>
  <si>
    <t>Marseille Provence</t>
  </si>
  <si>
    <t xml:space="preserve">Toulouse - Blagnac </t>
  </si>
  <si>
    <t xml:space="preserve">Bâle - Mulhouse </t>
  </si>
  <si>
    <t xml:space="preserve">Bordeaux </t>
  </si>
  <si>
    <t xml:space="preserve">Nantes Atlantique </t>
  </si>
  <si>
    <t>rang</t>
  </si>
  <si>
    <t xml:space="preserve">Port </t>
  </si>
  <si>
    <t>Dunkerque</t>
  </si>
  <si>
    <t>Calais</t>
  </si>
  <si>
    <t>Nantes / St Nazaire</t>
  </si>
  <si>
    <t>La Rochelle</t>
  </si>
  <si>
    <t>Sète</t>
  </si>
  <si>
    <t>Caen / Ouistreham</t>
  </si>
  <si>
    <t>Bayonne</t>
  </si>
  <si>
    <t>Bastia</t>
  </si>
  <si>
    <t>Det_A2E</t>
  </si>
  <si>
    <t>Lib_CPF4</t>
  </si>
  <si>
    <t>SommeDeValeur en euros</t>
  </si>
  <si>
    <t>Flux</t>
  </si>
  <si>
    <t>Part Import / Import
Formule</t>
  </si>
  <si>
    <t>Part Import / Import
Valeur</t>
  </si>
  <si>
    <t>Dept_A2E</t>
  </si>
  <si>
    <t>Export total</t>
  </si>
  <si>
    <t>Import total</t>
  </si>
  <si>
    <t>Huiles essentielles</t>
  </si>
  <si>
    <t>E</t>
  </si>
  <si>
    <t>Préparations pharmaceutiques</t>
  </si>
  <si>
    <t>Aéronefs et engins spatiaux</t>
  </si>
  <si>
    <t>Articles de joaillerie et bijouterie</t>
  </si>
  <si>
    <t>I</t>
  </si>
  <si>
    <t>Autres produits chimiques organiques de base</t>
  </si>
  <si>
    <t>Produits du raffinage du pétrole</t>
  </si>
  <si>
    <t>Produits sidérurgiques de base et ferroalliages</t>
  </si>
  <si>
    <t>Matières plastiques sous formes primaires</t>
  </si>
  <si>
    <t>Véhicules automobiles</t>
  </si>
  <si>
    <t>Parfums et produits pour la toilette</t>
  </si>
  <si>
    <t>Matériel de distribution et de commande électrique</t>
  </si>
  <si>
    <t>Vins de raisin</t>
  </si>
  <si>
    <t>Autres parties et accessoires pour véhicules automobiles</t>
  </si>
  <si>
    <t>Autres articles de robinetterie</t>
  </si>
  <si>
    <t>Produits laitiers et fromages</t>
  </si>
  <si>
    <t>Viandes de boucherie et produits d'abattage</t>
  </si>
  <si>
    <t>Autres pompes et compresseurs</t>
  </si>
  <si>
    <t>Chaussures</t>
  </si>
  <si>
    <t>Autres vêtements de dessus</t>
  </si>
  <si>
    <t>Machines pour l'extraction ou la construction</t>
  </si>
  <si>
    <t>Ordinateurs et équipements périphériques</t>
  </si>
  <si>
    <t>Matériel de levage et de manutention</t>
  </si>
  <si>
    <t>Huiles et graisses</t>
  </si>
  <si>
    <t>Articles d'horlogerie</t>
  </si>
  <si>
    <t>Produits pharmaceutiques de base</t>
  </si>
  <si>
    <t>Métaux précieux</t>
  </si>
  <si>
    <t>Jus de fruits et légumes</t>
  </si>
  <si>
    <t>Condiments et assaisonnements</t>
  </si>
  <si>
    <t>Données Douanes 2015 / Data gouv -  Pays - http://www.douane.gouv.fr/datadouane/c797-data-commerce-exterieur</t>
  </si>
  <si>
    <t>Lib_Pays</t>
  </si>
  <si>
    <t>Etats-Unis</t>
  </si>
  <si>
    <t>Suisse</t>
  </si>
  <si>
    <t>Italie</t>
  </si>
  <si>
    <t>Allemagne</t>
  </si>
  <si>
    <t>Royaume-Uni</t>
  </si>
  <si>
    <t>Chine</t>
  </si>
  <si>
    <t>Espagne</t>
  </si>
  <si>
    <t>Algérie</t>
  </si>
  <si>
    <t>Kazakhstan</t>
  </si>
  <si>
    <t>Nigeria</t>
  </si>
  <si>
    <t>Turquie</t>
  </si>
  <si>
    <t>Qatar</t>
  </si>
  <si>
    <t>Pays et territoires non déterminés</t>
  </si>
  <si>
    <t>Russie (Fédération de)</t>
  </si>
  <si>
    <t>Belgique</t>
  </si>
  <si>
    <t>Japon</t>
  </si>
  <si>
    <t>Pays-Bas</t>
  </si>
  <si>
    <t>Azerbaïdjan</t>
  </si>
  <si>
    <t>Arabie saoudite</t>
  </si>
  <si>
    <t>Inde</t>
  </si>
  <si>
    <t>Irlande</t>
  </si>
  <si>
    <t>blanc</t>
  </si>
  <si>
    <t>Instruments de mesure, d'essai et de navigation</t>
  </si>
  <si>
    <t>Variables</t>
  </si>
  <si>
    <t>PIB (millions US$)</t>
  </si>
  <si>
    <t>Unité</t>
  </si>
  <si>
    <t>Dollar des États-Unis, millions, 2010</t>
  </si>
  <si>
    <t>PIB par tête (US$)</t>
  </si>
  <si>
    <t>Dollar des États-Unis, 2010</t>
  </si>
  <si>
    <t>Bx Métropole</t>
  </si>
  <si>
    <t>Extr, énerg, eau, gestn déch &amp; dépol</t>
  </si>
  <si>
    <t>Fab aliments, boiss &amp; prdts base tabac</t>
  </si>
  <si>
    <t>Cokéfaction et raffinage</t>
  </si>
  <si>
    <t>Fab éq élec, électr, inf &amp; machines</t>
  </si>
  <si>
    <t>Fabrication de matériels de transport</t>
  </si>
  <si>
    <t>Fabrication autres produits industriels</t>
  </si>
  <si>
    <t>Commerce ; répar automobile &amp; motocycle</t>
  </si>
  <si>
    <t>Transports et entreposage</t>
  </si>
  <si>
    <t>Ac spé, sci &amp; tec, svces adm &amp; stn</t>
  </si>
  <si>
    <t>Admin pub, enseign, santé &amp; act soc</t>
  </si>
  <si>
    <t>Table de passage</t>
  </si>
  <si>
    <t>Industries extractives</t>
  </si>
  <si>
    <t>Industrie chimique</t>
  </si>
  <si>
    <t>Industrie pharmaceutique</t>
  </si>
  <si>
    <t>Fabrication d'équipements électriques</t>
  </si>
  <si>
    <t>Édition, audiovisuel et diffusion</t>
  </si>
  <si>
    <t>Télécommunications</t>
  </si>
  <si>
    <t>Act juri, compta, gest, arch, ingé</t>
  </si>
  <si>
    <t>Recherche-développement scientifique</t>
  </si>
  <si>
    <t>Autres act spécial, scientif et tech</t>
  </si>
  <si>
    <t>Administration publique</t>
  </si>
  <si>
    <t>Enseignement</t>
  </si>
  <si>
    <t>Activités pour la santé humaine</t>
  </si>
  <si>
    <t>Activités extra-territoriales</t>
  </si>
  <si>
    <t>Fmet</t>
  </si>
  <si>
    <t>Base 100</t>
  </si>
  <si>
    <t>Evol MA</t>
  </si>
  <si>
    <t>Base 100_n-7</t>
  </si>
  <si>
    <t>Base 100_n-6</t>
  </si>
  <si>
    <t>Base 100_n-5</t>
  </si>
  <si>
    <t>Base 100_n-4</t>
  </si>
  <si>
    <t>Base 100_n-3</t>
  </si>
  <si>
    <t>Base 100_n-2</t>
  </si>
  <si>
    <t>Base 100_n-1</t>
  </si>
  <si>
    <t>Effectifs_n-8</t>
  </si>
  <si>
    <t>Effectifs_n-7</t>
  </si>
  <si>
    <t>Effectifs_n-6</t>
  </si>
  <si>
    <t>Effectifs_n-5</t>
  </si>
  <si>
    <t>Effectifs_n-4</t>
  </si>
  <si>
    <t>Effectifs_n-3</t>
  </si>
  <si>
    <t>Effectifs_n-2</t>
  </si>
  <si>
    <t>Effectifs_n-1</t>
  </si>
  <si>
    <t>Agriculture</t>
  </si>
  <si>
    <t>Commerce</t>
  </si>
  <si>
    <t>Industrie</t>
  </si>
  <si>
    <t>Service</t>
  </si>
  <si>
    <t>Total N-1</t>
  </si>
  <si>
    <t>Total N-8</t>
  </si>
  <si>
    <t>Lyon</t>
  </si>
  <si>
    <t>Toulouse</t>
  </si>
  <si>
    <t>Lille</t>
  </si>
  <si>
    <t>Aix-Marseille</t>
  </si>
  <si>
    <t>Montpellier</t>
  </si>
  <si>
    <t>Strasbourg</t>
  </si>
  <si>
    <t>Nantes</t>
  </si>
  <si>
    <t>Nice</t>
  </si>
  <si>
    <t>Étiquettes de lignes</t>
  </si>
  <si>
    <t>Rennes</t>
  </si>
  <si>
    <t>Grenoble</t>
  </si>
  <si>
    <t>Etranger</t>
  </si>
  <si>
    <t>Non bacheliers</t>
  </si>
  <si>
    <t>Non renseigné</t>
  </si>
  <si>
    <t>Non étrangerNon bacheliers</t>
  </si>
  <si>
    <t>http://www.obs-ost.fr/frindicateur/analyses_et_indicateurs_de_reference</t>
  </si>
  <si>
    <t>Nb de chercheurs publics / privés</t>
  </si>
  <si>
    <t>PIB 2012</t>
  </si>
  <si>
    <t>Population totale 2013</t>
  </si>
  <si>
    <t>Population active 2013</t>
  </si>
  <si>
    <t>Dépenses de R&amp;D 2011</t>
  </si>
  <si>
    <t>Tous personnels de R&amp;D (etp) 2011</t>
  </si>
  <si>
    <t>Inscriptions dans l'enseignement supérieur 2011</t>
  </si>
  <si>
    <t>Inscriptions dans l'enseignement supérieur au niveau doctorat ou équivalent 2011</t>
  </si>
  <si>
    <t>Production scientifique - toutes disciplines confondues 2013</t>
  </si>
  <si>
    <t>Demandes de brevet européen selon l'inventeur - tous domaines confondus 2012</t>
  </si>
  <si>
    <t>rang national 2012</t>
  </si>
  <si>
    <t>rang européen 2012</t>
  </si>
  <si>
    <t>volume (M€)</t>
  </si>
  <si>
    <t>part dans le PIB de la France (%)</t>
  </si>
  <si>
    <t>rang national 2013</t>
  </si>
  <si>
    <t>rang européen 2013</t>
  </si>
  <si>
    <t>nombre (milliers)</t>
  </si>
  <si>
    <t>part dans la population de la France (%)</t>
  </si>
  <si>
    <t>part dans la population active de la France (%)</t>
  </si>
  <si>
    <t>rang national 2011</t>
  </si>
  <si>
    <t>rang européen 2011</t>
  </si>
  <si>
    <t>part des dépenses de R&amp;D en France (%)</t>
  </si>
  <si>
    <t>nombre</t>
  </si>
  <si>
    <t>part dans les personnels de R&amp;D en France (%)</t>
  </si>
  <si>
    <t>part dans les étudiants en France (%)</t>
  </si>
  <si>
    <t>part dans les doctorants en France (%)</t>
  </si>
  <si>
    <t>nombre de publications scientifiques</t>
  </si>
  <si>
    <t>part dans les publications scientifiques de la France (%)</t>
  </si>
  <si>
    <t>nombre de demandes de brevet européen</t>
  </si>
  <si>
    <t>part dans les demandes de brevet européen de la France (%)</t>
  </si>
  <si>
    <t>Alsace</t>
  </si>
  <si>
    <t>Basse-Normandie</t>
  </si>
  <si>
    <t>Bretagne</t>
  </si>
  <si>
    <t>Midi-Pyrénées</t>
  </si>
  <si>
    <t>Pays de la Loire</t>
  </si>
  <si>
    <t xml:space="preserve">  -</t>
  </si>
  <si>
    <t xml:space="preserve">  - </t>
  </si>
  <si>
    <t>Region</t>
  </si>
  <si>
    <t>%ANNEE</t>
  </si>
  <si>
    <t>Nombre de publications</t>
  </si>
  <si>
    <t>Nombre de brevets</t>
  </si>
  <si>
    <t>Nb brevets pour 10000 emplois</t>
  </si>
  <si>
    <t>Nb publications pour 10000 emplois</t>
  </si>
  <si>
    <t>Nombre de brevets déposés nb de publication http://www.eurolio.eu/</t>
  </si>
  <si>
    <t>Requête1</t>
  </si>
  <si>
    <t>Commerce Inter-entrep.</t>
  </si>
  <si>
    <t>Concept.Recherche</t>
  </si>
  <si>
    <t>Culture Loisir</t>
  </si>
  <si>
    <t>Gestion</t>
  </si>
  <si>
    <t>Prest. Intellect.</t>
  </si>
  <si>
    <t>Rang Emploi Créat</t>
  </si>
  <si>
    <t>Rang Emploi HT</t>
  </si>
  <si>
    <t>Rang Emplois CFM</t>
  </si>
  <si>
    <t>Emplois CFM n-3</t>
  </si>
  <si>
    <t>Emplois CFM n-2</t>
  </si>
  <si>
    <t>Emplois CFM n-1</t>
  </si>
  <si>
    <t>Hôtels classés</t>
  </si>
  <si>
    <t>Chambres dans hôtels classés</t>
  </si>
  <si>
    <t>Campings classés</t>
  </si>
  <si>
    <t>Emplacements de camping classés</t>
  </si>
  <si>
    <t>Fréquentation des hébergements touristiques en 2014 : comparaisons départementales</t>
  </si>
  <si>
    <t>en milliers de nuitées</t>
  </si>
  <si>
    <t>Hôtels de tourisme</t>
  </si>
  <si>
    <t>Campings (mai à septembre)</t>
  </si>
  <si>
    <t>dont résidents étrangers</t>
  </si>
  <si>
    <t>M</t>
  </si>
  <si>
    <t>France métropolitaine</t>
  </si>
  <si>
    <t>en millions d'euros</t>
  </si>
  <si>
    <t>Régions</t>
  </si>
  <si>
    <t xml:space="preserve">Consommation touristique intérieure </t>
  </si>
  <si>
    <t xml:space="preserve">Languedoc-Roussillon </t>
  </si>
  <si>
    <t>Nord - Pas-de-Calais</t>
  </si>
  <si>
    <t>Provence - Alpes - Côte d'Azur</t>
  </si>
  <si>
    <t>Sources : Insee, DGCIS, Compte satellite du tourisme régionalisé 2011.</t>
  </si>
  <si>
    <t>Données de la figure 4 : Le tourisme est plus important dans les régions du Sud</t>
  </si>
  <si>
    <t>Rapport entre la consommation touristique et le PIB régional en 2011</t>
  </si>
  <si>
    <t>en %</t>
  </si>
  <si>
    <t>Part de la consommation touristique intérieure dans le PIB régional</t>
  </si>
  <si>
    <t>Emploi touristique lié au tourisme local (en milliers)</t>
  </si>
  <si>
    <t>Emploi touristique non lié au tourisme local  (en milliers)</t>
  </si>
  <si>
    <t>Emploi touristique total  (en milliers)</t>
  </si>
  <si>
    <t>Part dans l'emploi total en % (1)</t>
  </si>
  <si>
    <t>Zones touristiques</t>
  </si>
  <si>
    <t>ETP</t>
  </si>
  <si>
    <t>Dordogne</t>
  </si>
  <si>
    <t>Périgord Noir</t>
  </si>
  <si>
    <t>Périgord Vert Pourpre et Blanc</t>
  </si>
  <si>
    <t>Littoral médocain</t>
  </si>
  <si>
    <t>Bassin d'Arcachon</t>
  </si>
  <si>
    <t>Unité urbaine de Bordeaux (sauf Bordeaux)</t>
  </si>
  <si>
    <t>Gironde intérieure et vignoble</t>
  </si>
  <si>
    <t>Landes</t>
  </si>
  <si>
    <t>Littoral landais</t>
  </si>
  <si>
    <t>Zone thermale des Landes</t>
  </si>
  <si>
    <t>Intérieur des Landes</t>
  </si>
  <si>
    <t>Lot-et-Garonne</t>
  </si>
  <si>
    <t>Pyrénées-Atlantiques</t>
  </si>
  <si>
    <t>Littoral basque</t>
  </si>
  <si>
    <t>Piémont béarnais et basque</t>
  </si>
  <si>
    <t>Massif pyrénéen</t>
  </si>
  <si>
    <t>Unité urbaine de Pau</t>
  </si>
  <si>
    <t>Emplois, ETP et part d'emplois touristiques par zone</t>
  </si>
  <si>
    <t>Champ : Emplois touristiques salariés et non salariés, hors transport</t>
  </si>
  <si>
    <t>Sources : Insee, DADS, Acoss, 2011</t>
  </si>
  <si>
    <t>Rang emplois touristique</t>
  </si>
  <si>
    <t>Publication Insee / CRT : actualisation périodique (3 à 5 ans)</t>
  </si>
  <si>
    <t>Document Insee : http://www.insee.fr/fr/themes/document.asp?ref_id=ip1555</t>
  </si>
  <si>
    <t>Tx évol moyen annuel</t>
  </si>
  <si>
    <t>Nb Hab/Km</t>
  </si>
  <si>
    <t>Agriculteurs</t>
  </si>
  <si>
    <t>Artisans</t>
  </si>
  <si>
    <t>Employés</t>
  </si>
  <si>
    <t>Ouvriers</t>
  </si>
  <si>
    <t>Total Occ Actifs LR</t>
  </si>
  <si>
    <t>CAP BEP</t>
  </si>
  <si>
    <t>Croissance</t>
  </si>
  <si>
    <t xml:space="preserve">Taux d'emploi </t>
  </si>
  <si>
    <t>Salaire net horaire moyen</t>
  </si>
  <si>
    <t>Concentration de l'emploi</t>
  </si>
  <si>
    <t xml:space="preserve">Emploi total </t>
  </si>
  <si>
    <t>Emploi salarié</t>
  </si>
  <si>
    <t>Emploi salarié privé</t>
  </si>
  <si>
    <t>CDD</t>
  </si>
  <si>
    <t>% temps complet</t>
  </si>
  <si>
    <t>Evol Emplois salariés privés CF Chapitre V</t>
  </si>
  <si>
    <t>Evol Empl total</t>
  </si>
  <si>
    <t>Evol Empl salarié total</t>
  </si>
  <si>
    <t>Evol Empl salarié privés</t>
  </si>
  <si>
    <t>Salariés en CDI ou fonction public</t>
  </si>
  <si>
    <t>Salariés en CDD</t>
  </si>
  <si>
    <t>Autre salariés</t>
  </si>
  <si>
    <t>CDI N-2</t>
  </si>
  <si>
    <t>CDD N-2</t>
  </si>
  <si>
    <t>Non-salariés N-2</t>
  </si>
  <si>
    <t>Salariés N-2</t>
  </si>
  <si>
    <t>Autres salariés N-2</t>
  </si>
  <si>
    <t>Actifs occupés 15 ans ou + N-2</t>
  </si>
  <si>
    <t>Evolution de l'emploi salarié privé</t>
  </si>
  <si>
    <t>Nombre</t>
  </si>
  <si>
    <t>Part du total</t>
  </si>
  <si>
    <t xml:space="preserve">Serveurs </t>
  </si>
  <si>
    <t>Apprentis de restauration</t>
  </si>
  <si>
    <t xml:space="preserve">Professionnels de l'animation </t>
  </si>
  <si>
    <t xml:space="preserve">Artistes </t>
  </si>
  <si>
    <t>Aides à domicile</t>
  </si>
  <si>
    <t xml:space="preserve">Agents de sécurité </t>
  </si>
  <si>
    <t>Agents d'accueil</t>
  </si>
  <si>
    <t xml:space="preserve">Agents administratifs </t>
  </si>
  <si>
    <t>Employés de libre service</t>
  </si>
  <si>
    <t>Caissiers</t>
  </si>
  <si>
    <t>Aides soignants</t>
  </si>
  <si>
    <t xml:space="preserve">Vendeurs en habillement </t>
  </si>
  <si>
    <t>Conducteurs / livreurs</t>
  </si>
  <si>
    <t>Secrétaires</t>
  </si>
  <si>
    <t>Infirmiers</t>
  </si>
  <si>
    <t xml:space="preserve">Jardiniers </t>
  </si>
  <si>
    <t>Conducteurs routiers</t>
  </si>
  <si>
    <t>Ingénieurs (industrie)</t>
  </si>
  <si>
    <t xml:space="preserve">Ingénieurs informatique </t>
  </si>
  <si>
    <t>Viticulteurs, cueilleurs</t>
  </si>
  <si>
    <t>CDD long (&gt;1 mois)</t>
  </si>
  <si>
    <t>CDD court (&lt;1 mois)</t>
  </si>
  <si>
    <t>Banque, assurance, immobilier</t>
  </si>
  <si>
    <t>Commerce, vente et grande distribution</t>
  </si>
  <si>
    <t>Construction, bâtiment et travaux publics</t>
  </si>
  <si>
    <t>Installation et maintenance</t>
  </si>
  <si>
    <t>Spectacle</t>
  </si>
  <si>
    <t>Transport et logistique</t>
  </si>
  <si>
    <t>Communication, media et multimedia</t>
  </si>
  <si>
    <t xml:space="preserve">Services à la personne </t>
  </si>
  <si>
    <t>Département</t>
  </si>
  <si>
    <t>09-T2</t>
  </si>
  <si>
    <t>09-T3</t>
  </si>
  <si>
    <t>09-T4</t>
  </si>
  <si>
    <t>10-T1</t>
  </si>
  <si>
    <t>10-T2</t>
  </si>
  <si>
    <t>10-T3</t>
  </si>
  <si>
    <t>10-T4</t>
  </si>
  <si>
    <t>11-T1</t>
  </si>
  <si>
    <t>11-T2</t>
  </si>
  <si>
    <t>11-T3</t>
  </si>
  <si>
    <t>11-T4</t>
  </si>
  <si>
    <t>12-T1</t>
  </si>
  <si>
    <t>12-T2</t>
  </si>
  <si>
    <t>12-T3</t>
  </si>
  <si>
    <t>12-T4</t>
  </si>
  <si>
    <t>13-T1</t>
  </si>
  <si>
    <t>13-T2</t>
  </si>
  <si>
    <t>13-T4</t>
  </si>
  <si>
    <t>13-T3</t>
  </si>
  <si>
    <t>14-T1</t>
  </si>
  <si>
    <t>14-T2</t>
  </si>
  <si>
    <t>14-T3</t>
  </si>
  <si>
    <t>14-T4</t>
  </si>
  <si>
    <t>15-T1</t>
  </si>
  <si>
    <t>15-T2</t>
  </si>
  <si>
    <t>Taux de chômage trimestriel</t>
  </si>
  <si>
    <t>Nb de demandeurs Cat A</t>
  </si>
  <si>
    <t>6 à 23 mois</t>
  </si>
  <si>
    <t>évolution</t>
  </si>
  <si>
    <t>- 25 ans</t>
  </si>
  <si>
    <t>&gt;=50 ans</t>
  </si>
  <si>
    <t>&gt;= 2 ans</t>
  </si>
  <si>
    <t>Lens</t>
  </si>
  <si>
    <t>Bassin Niçois</t>
  </si>
  <si>
    <t>Bassin Toulonnais</t>
  </si>
  <si>
    <t>Bassin d'Avignon</t>
  </si>
  <si>
    <t xml:space="preserve">Taux d'entrepreneuriat </t>
  </si>
  <si>
    <t>Part de jeunes entreprises</t>
  </si>
  <si>
    <t>Taux de survie à 3 ans</t>
  </si>
  <si>
    <t>Entreprises N-1</t>
  </si>
  <si>
    <t>Entr de 3 ans N-1</t>
  </si>
  <si>
    <t>Créations d'entr N-1</t>
  </si>
  <si>
    <t>Créations d'entr indiv N-1</t>
  </si>
  <si>
    <t>Etablissements N-1</t>
  </si>
  <si>
    <t>Créations d'ets N-1</t>
  </si>
  <si>
    <t>Créations d'entr N-2</t>
  </si>
  <si>
    <t>Créations d'ets N-2</t>
  </si>
  <si>
    <t>Entreprises N-2</t>
  </si>
  <si>
    <t>Entrep de 3 ans N-2</t>
  </si>
  <si>
    <t>Etablissements N-2</t>
  </si>
  <si>
    <t>Nb création total N-1</t>
  </si>
  <si>
    <t>Nb créations Micro-entrepreneurs</t>
  </si>
  <si>
    <t>Part micro-entrepreneur N-1</t>
  </si>
  <si>
    <t>Nb création total N-2</t>
  </si>
  <si>
    <t>Part micro-entrepreneur N-2</t>
  </si>
  <si>
    <t xml:space="preserve">dont part des micro-entrepreneurs </t>
  </si>
  <si>
    <t>Taux d'entrepreunariat N-1</t>
  </si>
  <si>
    <t>Actif 15-64 ans N-1</t>
  </si>
  <si>
    <t>Taux d'entrepreunariat N-2</t>
  </si>
  <si>
    <t>Créations d'entr 3ans N-1</t>
  </si>
  <si>
    <t>Créations d'entr 3ans N-2</t>
  </si>
  <si>
    <t>Création d'établissements</t>
  </si>
  <si>
    <t>Création d'entreprises</t>
  </si>
  <si>
    <t>Total Ets actifs N-1</t>
  </si>
  <si>
    <t>Ets actifs sphère présentielle N-1</t>
  </si>
  <si>
    <t>Ets actifs sphère productive N-1</t>
  </si>
  <si>
    <t>Ets actifs sphère présentielle public N-1</t>
  </si>
  <si>
    <t>Ets actifs sphère productive public N-1</t>
  </si>
  <si>
    <t>Postes Ets actifs sphère présentielle N-1</t>
  </si>
  <si>
    <t>Postes Ets actifs sphère productive N-1</t>
  </si>
  <si>
    <t>Postes Ets actifs sphère présentielle public N-1</t>
  </si>
  <si>
    <t>Postes Ets actifs sphère productive public N-1</t>
  </si>
  <si>
    <t>Ets actifs agriculture N-1</t>
  </si>
  <si>
    <t>Ets actifs industrie N-1</t>
  </si>
  <si>
    <t>Ets actifs construction N-1</t>
  </si>
  <si>
    <t>Ets actifs commerce services N-1</t>
  </si>
  <si>
    <t>Ets actifs adm publique N-1</t>
  </si>
  <si>
    <t>Ets actifs de 0 salarié N-1</t>
  </si>
  <si>
    <t>Ets actifs de 1 à 9 salariés N-1</t>
  </si>
  <si>
    <t>Ets actifs de 10 à 49 salariés N-1</t>
  </si>
  <si>
    <t>Ets actifs de 50 à 199 salariés N-1</t>
  </si>
  <si>
    <t>Ets actifs de 500 salariés ou plus N-1</t>
  </si>
  <si>
    <t>Ets actifs Services N-1</t>
  </si>
  <si>
    <t>Services</t>
  </si>
  <si>
    <t>Ets actifs de 200 à 499 salariés N-1</t>
  </si>
  <si>
    <t>0 salarié</t>
  </si>
  <si>
    <t>1 à 9 salariés</t>
  </si>
  <si>
    <t>10 à 49 salariés</t>
  </si>
  <si>
    <t>50 à 199 salariés</t>
  </si>
  <si>
    <t>200 à 499 salariés</t>
  </si>
  <si>
    <t>500 salariés et +</t>
  </si>
  <si>
    <t>Création de richesse et ouverture du territoire</t>
  </si>
  <si>
    <t>Commerce, réparation d'auto /moto</t>
  </si>
  <si>
    <t>Administration pub, enseignement, santé, action sociale</t>
  </si>
  <si>
    <t>Industries manufacturières, extractives et autres</t>
  </si>
  <si>
    <t>Activités scientifiques et techn; services admin et de soutien</t>
  </si>
  <si>
    <t>Paris</t>
  </si>
  <si>
    <t>Toulon</t>
  </si>
  <si>
    <t xml:space="preserve">OCDE : </t>
  </si>
  <si>
    <t xml:space="preserve">Nord </t>
  </si>
  <si>
    <t>Loire-Atl.</t>
  </si>
  <si>
    <t>Alpes-Marit.</t>
  </si>
  <si>
    <t>Bouches-du-R.</t>
  </si>
  <si>
    <t>Balance commerciale N-1</t>
  </si>
  <si>
    <t>Balance commerciale N-2</t>
  </si>
  <si>
    <t>Exportations N-1</t>
  </si>
  <si>
    <t>Importations N-1</t>
  </si>
  <si>
    <t>Exportations N-2</t>
  </si>
  <si>
    <t>Importations N-2</t>
  </si>
  <si>
    <t>Exportations N-3</t>
  </si>
  <si>
    <t>Importations N-3</t>
  </si>
  <si>
    <t>Exportations N-4</t>
  </si>
  <si>
    <t>Importations N-4</t>
  </si>
  <si>
    <t>http://lekiosque.finances.gouv.fr/regionales/region_accueil.asp</t>
  </si>
  <si>
    <t>Import</t>
  </si>
  <si>
    <t>Export</t>
  </si>
  <si>
    <t>Haute-Normandie</t>
  </si>
  <si>
    <t>Bouches-du-Rhône1</t>
  </si>
  <si>
    <t>Bouches-du-Rhône2</t>
  </si>
  <si>
    <t>Bouches-du-Rhône3</t>
  </si>
  <si>
    <t>Haute-Garonne1</t>
  </si>
  <si>
    <t>Haute-Garonne2</t>
  </si>
  <si>
    <t>Haute-Garonne3</t>
  </si>
  <si>
    <t>Gironde1</t>
  </si>
  <si>
    <t>Gironde2</t>
  </si>
  <si>
    <t>Gironde3</t>
  </si>
  <si>
    <t>Hérault1</t>
  </si>
  <si>
    <t>Hérault2</t>
  </si>
  <si>
    <t>Hérault3</t>
  </si>
  <si>
    <t>Ille-et-Vilaine1</t>
  </si>
  <si>
    <t>Ille-et-Vilaine2</t>
  </si>
  <si>
    <t>Ille-et-Vilaine3</t>
  </si>
  <si>
    <t>Isère1</t>
  </si>
  <si>
    <t>Isère2</t>
  </si>
  <si>
    <t>Isère3</t>
  </si>
  <si>
    <t>Loire-Atlantique1</t>
  </si>
  <si>
    <t>Loire-Atlantique2</t>
  </si>
  <si>
    <t>Loire-Atlantique3</t>
  </si>
  <si>
    <t>Nord1</t>
  </si>
  <si>
    <t>Nord2</t>
  </si>
  <si>
    <t>Nord3</t>
  </si>
  <si>
    <t>Bas-Rhin1</t>
  </si>
  <si>
    <t>Bas-Rhin2</t>
  </si>
  <si>
    <t>Bas-Rhin3</t>
  </si>
  <si>
    <t>Rhône1</t>
  </si>
  <si>
    <t>Rhône2</t>
  </si>
  <si>
    <t>Rhône3</t>
  </si>
  <si>
    <t>Seine-Maritime1</t>
  </si>
  <si>
    <t>Seine-Maritime2</t>
  </si>
  <si>
    <t>Seine-Maritime3</t>
  </si>
  <si>
    <t>Var1</t>
  </si>
  <si>
    <t>Var2</t>
  </si>
  <si>
    <t>Var3</t>
  </si>
  <si>
    <t>Vaucluse1</t>
  </si>
  <si>
    <t>Vaucluse2</t>
  </si>
  <si>
    <t>Vaucluse3</t>
  </si>
  <si>
    <t>Valeur en euros</t>
  </si>
  <si>
    <t>Formule</t>
  </si>
  <si>
    <t>Valeur</t>
  </si>
  <si>
    <t xml:space="preserve">Part </t>
  </si>
  <si>
    <t>%</t>
  </si>
  <si>
    <t>Pays_Valeur</t>
  </si>
  <si>
    <t>Pays_part</t>
  </si>
  <si>
    <t>Dynamique et spécialisation de l'emploi</t>
  </si>
  <si>
    <t>Commerce ; réparation d'auto. et de moto.</t>
  </si>
  <si>
    <t>Industries</t>
  </si>
  <si>
    <t>Commerce ; répar auto,moto</t>
  </si>
  <si>
    <t>Part</t>
  </si>
  <si>
    <t>Activités scient.et techn. ; services administratifs et de soutien</t>
  </si>
  <si>
    <t>MA Industrie</t>
  </si>
  <si>
    <t>MA Construction</t>
  </si>
  <si>
    <t>MA Service</t>
  </si>
  <si>
    <t>MA Commerce</t>
  </si>
  <si>
    <t>% Industrie</t>
  </si>
  <si>
    <t>% Construction</t>
  </si>
  <si>
    <t>% Commerce</t>
  </si>
  <si>
    <t>% Service</t>
  </si>
  <si>
    <t>Evolution</t>
  </si>
  <si>
    <t>Académie</t>
  </si>
  <si>
    <t>Inscript N-2</t>
  </si>
  <si>
    <t>Inscript N-1</t>
  </si>
  <si>
    <t>Haute Normandie</t>
  </si>
  <si>
    <t>Nord-pas-de-calais</t>
  </si>
  <si>
    <t>Rhône Alpes</t>
  </si>
  <si>
    <t>Provence Alpes Côte d'Azur</t>
  </si>
  <si>
    <t>6</t>
  </si>
  <si>
    <t>23</t>
  </si>
  <si>
    <t>42</t>
  </si>
  <si>
    <t>52</t>
  </si>
  <si>
    <t>53</t>
  </si>
  <si>
    <t>73</t>
  </si>
  <si>
    <t>82</t>
  </si>
  <si>
    <t>91</t>
  </si>
  <si>
    <t>93</t>
  </si>
  <si>
    <t>Pop N-1</t>
  </si>
  <si>
    <t>Etudiant/hab</t>
  </si>
  <si>
    <t>Rang N-1</t>
  </si>
  <si>
    <t>Total en 2e ou 3 e Cycle</t>
  </si>
  <si>
    <t>Etudiants issus de système éducatif étranger</t>
  </si>
  <si>
    <t>Non bachelier</t>
  </si>
  <si>
    <t>http://www.obs-ost.fr/frressources_en_ligne/documents_methodologiques</t>
  </si>
  <si>
    <t>rang national</t>
  </si>
  <si>
    <t>rang européen</t>
  </si>
  <si>
    <t>part dans les chercheurs en France</t>
  </si>
  <si>
    <t xml:space="preserve">Part Chercheur privé </t>
  </si>
  <si>
    <t>Part Chercheur public</t>
  </si>
  <si>
    <t>Part du privé</t>
  </si>
  <si>
    <t>Nb chercheur 1000 hab</t>
  </si>
  <si>
    <t>Part dans la pop active</t>
  </si>
  <si>
    <t>nombre de chercheurs N-1</t>
  </si>
  <si>
    <t>nombre de chercheurs N-2</t>
  </si>
  <si>
    <t>Figure complémentaire 2 : Une activité des grandes agglomérations</t>
  </si>
  <si>
    <t>Les premières zones d'emploi de conception recherche par région en 2011</t>
  </si>
  <si>
    <t>Zone d'emploi</t>
  </si>
  <si>
    <t>Part dans l'emploi régional (%)</t>
  </si>
  <si>
    <t>Ensemble des emplois</t>
  </si>
  <si>
    <t>Emplois de la conception-recherche</t>
  </si>
  <si>
    <t>Toulouse - partie Midi-Pyrénées</t>
  </si>
  <si>
    <t>Guadeloupe</t>
  </si>
  <si>
    <t>Pointe-à-Pitre</t>
  </si>
  <si>
    <t>Martinique</t>
  </si>
  <si>
    <t>Centre agglomération</t>
  </si>
  <si>
    <t>Auvergne</t>
  </si>
  <si>
    <t>Clermont-Ferrand</t>
  </si>
  <si>
    <t>Île-de-France</t>
  </si>
  <si>
    <t>Limousin</t>
  </si>
  <si>
    <t>Limoges</t>
  </si>
  <si>
    <t>Franche-Comté</t>
  </si>
  <si>
    <t>Belfort-Montbéliard-Héricourt</t>
  </si>
  <si>
    <t>Guyane</t>
  </si>
  <si>
    <t>Cayenne</t>
  </si>
  <si>
    <t>Bourgogne</t>
  </si>
  <si>
    <t>Dijon</t>
  </si>
  <si>
    <t>Caen</t>
  </si>
  <si>
    <t>La Réunion</t>
  </si>
  <si>
    <t>Sud</t>
  </si>
  <si>
    <t>Corse</t>
  </si>
  <si>
    <t>Lorraine</t>
  </si>
  <si>
    <t>Nancy</t>
  </si>
  <si>
    <t>Champagne-Ardenne</t>
  </si>
  <si>
    <t>Reims</t>
  </si>
  <si>
    <t>Centre-Val de Loire</t>
  </si>
  <si>
    <t>Tours</t>
  </si>
  <si>
    <t>Paca</t>
  </si>
  <si>
    <t>Marseille-Aubagne</t>
  </si>
  <si>
    <t>Picardie</t>
  </si>
  <si>
    <t>Amiens</t>
  </si>
  <si>
    <t>Poitou-Charentes</t>
  </si>
  <si>
    <t>Poitiers</t>
  </si>
  <si>
    <t>Source : Insee, Recensement de la population-Exploitation complémentaire 2011.</t>
  </si>
  <si>
    <r>
      <rPr>
        <b/>
        <i/>
        <sz val="11"/>
        <color theme="1"/>
        <rFont val="Calibri"/>
        <family val="2"/>
        <scheme val="minor"/>
      </rPr>
      <t xml:space="preserve">Publication Insee "L'effort de recherche dans les régions" </t>
    </r>
    <r>
      <rPr>
        <sz val="11"/>
        <color theme="1"/>
        <rFont val="Calibri"/>
        <family val="2"/>
        <scheme val="minor"/>
      </rPr>
      <t>//  https://beta.insee.fr/fr/statistiques/1287833</t>
    </r>
  </si>
  <si>
    <t>Rang brevet</t>
  </si>
  <si>
    <t>Rang publication</t>
  </si>
  <si>
    <t>Evolution N-2 / N-1</t>
  </si>
  <si>
    <t>Part ds total sal privé</t>
  </si>
  <si>
    <t>Part dans l'emploi total</t>
  </si>
  <si>
    <t>emplois créatifs</t>
  </si>
  <si>
    <t>Emploi HT</t>
  </si>
  <si>
    <t>Part HT ds total sal privé</t>
  </si>
  <si>
    <t>Part CFM ds total RRP</t>
  </si>
  <si>
    <t>B_100_Emplois CFM n-2</t>
  </si>
  <si>
    <t>B_100_Emplois CFM n-1</t>
  </si>
  <si>
    <t>B_100_Emplois CFM n-3</t>
  </si>
  <si>
    <t>Tourisme</t>
  </si>
  <si>
    <t>Insee / ancien site / http://www.insee.fr/fr/themes/tableau.asp?reg_id=99&amp;ref_id=TCRD_020</t>
  </si>
  <si>
    <t xml:space="preserve">Littoral aquitain </t>
  </si>
  <si>
    <t xml:space="preserve">Intérieur aquitain </t>
  </si>
  <si>
    <t>Béarn</t>
  </si>
  <si>
    <t xml:space="preserve">Pays basque </t>
  </si>
  <si>
    <t>NC</t>
  </si>
  <si>
    <t>Hôtellerie</t>
  </si>
  <si>
    <t>Camping</t>
  </si>
  <si>
    <t>Nb de nuités dans hotels N-1</t>
  </si>
  <si>
    <t>Total Hôtellerie n-2</t>
  </si>
  <si>
    <t>http://www.bdm.insee.fr/bdm2/affichageSeries?idbank=001711032&amp;idbank=001711033&amp;idbank=001711037&amp;idbank=001711040&amp;idbank=001711042&amp;idbank=001711044&amp;idbank=001711047&amp;idbank=001711048&amp;idbank=001711049&amp;idbank=001711052&amp;idbank=001711053&amp;idbank=001711054&amp;idbank=001711055&amp;page=tableau&amp;codeGroupe=1610&amp;recherche=criteres&amp;periodeDebut=1&amp;anneeDebut=2013&amp;periodeFin=11&amp;anneeFin=2015</t>
  </si>
  <si>
    <t>Libellé</t>
  </si>
  <si>
    <t>Nuitées Etrangers N-1</t>
  </si>
  <si>
    <t>Nuitées Etrangers N-2</t>
  </si>
  <si>
    <t>Nuitées Etrangers N-3</t>
  </si>
  <si>
    <t>Nuitées Etrangers N-4</t>
  </si>
  <si>
    <t>Nuitées Etrangers N-5</t>
  </si>
  <si>
    <t>Nuitées totale N-1</t>
  </si>
  <si>
    <t>Nuitées totale N-2</t>
  </si>
  <si>
    <t>Nuitées totale N-3</t>
  </si>
  <si>
    <t>Nuitées totale N-4</t>
  </si>
  <si>
    <t>Nuitées totale N-5</t>
  </si>
  <si>
    <t>Nuitées par an dans les hôtels par région en millier</t>
  </si>
  <si>
    <t>Evolution nuit hotel</t>
  </si>
  <si>
    <t>Taux d'occu moyen Hotel N-1</t>
  </si>
  <si>
    <t>Nuitées etrang H_N-1</t>
  </si>
  <si>
    <t>Part nuités étrnag H_N-1</t>
  </si>
  <si>
    <t>Total Nuit camping  n-2</t>
  </si>
  <si>
    <t>Evolution nuit camping</t>
  </si>
  <si>
    <t>Taux d'occu moyen camping N-1</t>
  </si>
  <si>
    <t>Nuitées etrang C_N-1</t>
  </si>
  <si>
    <t>Nb de nuités dans campings N-1</t>
  </si>
  <si>
    <t>Hotel</t>
  </si>
  <si>
    <t>Nuitées etrang H_N-2</t>
  </si>
  <si>
    <t>Evol Nuités Etrang Hotel</t>
  </si>
  <si>
    <t>Nuitées etrang C_N-2</t>
  </si>
  <si>
    <t>Evol nuités Etrang camping</t>
  </si>
  <si>
    <t xml:space="preserve">Allemagne </t>
  </si>
  <si>
    <t xml:space="preserve">Belgique </t>
  </si>
  <si>
    <t xml:space="preserve">Espagne </t>
  </si>
  <si>
    <t xml:space="preserve">Italie </t>
  </si>
  <si>
    <t xml:space="preserve">Pays-Bas </t>
  </si>
  <si>
    <t xml:space="preserve">Royaume-Uni </t>
  </si>
  <si>
    <t xml:space="preserve">Suisse </t>
  </si>
  <si>
    <t>Autres europe</t>
  </si>
  <si>
    <t>Amériques</t>
  </si>
  <si>
    <t>Asie/Océanie/Australie</t>
  </si>
  <si>
    <t>Afrique</t>
  </si>
  <si>
    <t>total</t>
  </si>
  <si>
    <t>part colonne</t>
  </si>
  <si>
    <t>UU de Bordeaux (sauf Bdx)</t>
  </si>
  <si>
    <t>Asie/Océanie/Australie/Afrique</t>
  </si>
  <si>
    <t>Autres Europe</t>
  </si>
  <si>
    <t>http://etudes.obs-aquitaine.fr/rub.asp?id=4&amp;page=Les_donnees_mensuelles_chiffrees</t>
  </si>
  <si>
    <t>2011-2009</t>
  </si>
  <si>
    <t>Nombre d'emplois touristiques</t>
  </si>
  <si>
    <t>Évolution</t>
  </si>
  <si>
    <t>Revenu médian UC N-1</t>
  </si>
  <si>
    <t>Revenu médian UC N-2</t>
  </si>
  <si>
    <t>BORDEAUX</t>
  </si>
  <si>
    <t>Part Jeunes entreprises N-1</t>
  </si>
  <si>
    <t>Part Jeunes entreprises N-2</t>
  </si>
  <si>
    <t>Taux survie_N-1</t>
  </si>
  <si>
    <t>Taux survie_N-2</t>
  </si>
  <si>
    <t>Principaux pays d'échanges</t>
  </si>
  <si>
    <t>Emploi salarié privé acoss N +2</t>
  </si>
  <si>
    <t>Emploi salarié privé acoss N</t>
  </si>
  <si>
    <t>Emploi salarié privé acoss n-5</t>
  </si>
  <si>
    <t>Sphère économique</t>
  </si>
  <si>
    <t>Privé</t>
  </si>
  <si>
    <t>Public</t>
  </si>
  <si>
    <t>Part des effectifs</t>
  </si>
  <si>
    <t>Sphère présentielle</t>
  </si>
  <si>
    <t>Sphère productive</t>
  </si>
  <si>
    <t>Etab actifs sphère présentielle N-1</t>
  </si>
  <si>
    <t>Etab actifs sphère productive N-1</t>
  </si>
  <si>
    <t>Effectifs sphère présentielle N-1</t>
  </si>
  <si>
    <t>Effectifs sphère productive N-1</t>
  </si>
  <si>
    <t>Total etab actifs N-1</t>
  </si>
  <si>
    <t>Total Effectifs actifs N-1</t>
  </si>
  <si>
    <t>dont Etab actifs sphère présentielle public  N-1</t>
  </si>
  <si>
    <t>dont Etab actifs sphère productive public N-1</t>
  </si>
  <si>
    <t>dont Effectifs sphère présentielle public N-1</t>
  </si>
  <si>
    <t>dont Effectifs sphère productive public N-1</t>
  </si>
  <si>
    <t>dont Etab actifs sphère présentielle privé  N-1</t>
  </si>
  <si>
    <t>dont Etab actifs sphère productive privé N-1</t>
  </si>
  <si>
    <t>dont postes actifs sphère présentielle privé  N-1</t>
  </si>
  <si>
    <t>dont postes actifs sphère productive privé N-1</t>
  </si>
  <si>
    <t>public</t>
  </si>
  <si>
    <t xml:space="preserve">Industries extractives </t>
  </si>
  <si>
    <t xml:space="preserve">Travail du bois, industries du papier et imprimerie </t>
  </si>
  <si>
    <t>Fabrication de produits informatiques, électroniques et optiques</t>
  </si>
  <si>
    <t>Fabrication de machines et équipements n.c.a.</t>
  </si>
  <si>
    <t xml:space="preserve">Construction </t>
  </si>
  <si>
    <t xml:space="preserve">Transports et entreposage </t>
  </si>
  <si>
    <t>Edition, audiovisuel et diffusion</t>
  </si>
  <si>
    <t>Activités informatiques et services d'information</t>
  </si>
  <si>
    <t>Autres activités spécialisées, scientifiques et techniques</t>
  </si>
  <si>
    <t>Activités de services administratifs et de soutien</t>
  </si>
  <si>
    <t>Hébergement médico-social et social et action sociale sans hébergement</t>
  </si>
  <si>
    <t>Arts, spectacles et activités récréatives</t>
  </si>
  <si>
    <t xml:space="preserve">Autres activités de services </t>
  </si>
  <si>
    <t>Fabrication d'aliments, de boissons et de produits à base de tabac</t>
  </si>
  <si>
    <t>Fabrication de textiles, habillement, cuir et de la chaussure</t>
  </si>
  <si>
    <t xml:space="preserve">Fabrication de produits en caoutchouc et en plastique </t>
  </si>
  <si>
    <t>Autres : réparation et installation de machines et d'équipements</t>
  </si>
  <si>
    <t>Production et distribution d'électricité, de gaz</t>
  </si>
  <si>
    <t xml:space="preserve">Activités des ménages en tant qu'employeurs </t>
  </si>
  <si>
    <t>Métallurgie et fab.de produits métalliques hors machines et équipements</t>
  </si>
  <si>
    <t>Product. et distrib. d'eau; assainissement, gestion déchets et dépollution</t>
  </si>
  <si>
    <t>Fab aliments, boiss</t>
  </si>
  <si>
    <t>Fab textiles</t>
  </si>
  <si>
    <t>Travail bois</t>
  </si>
  <si>
    <t>Fab ps caou, plas,</t>
  </si>
  <si>
    <t>Fab prod informat, électroniq</t>
  </si>
  <si>
    <t xml:space="preserve">Fabric de machines </t>
  </si>
  <si>
    <t>Aut ind manuf</t>
  </si>
  <si>
    <t xml:space="preserve">Prdn  distr élec gaz vap </t>
  </si>
  <si>
    <t>Gestion eau, déchets  dépollution</t>
  </si>
  <si>
    <t>Commerce ; répar automobile  motocycle</t>
  </si>
  <si>
    <t>Act informatique et d'information</t>
  </si>
  <si>
    <t>Act de svices administratifs  soutien</t>
  </si>
  <si>
    <t xml:space="preserve">Héb méd-soc </t>
  </si>
  <si>
    <t>Act ménages</t>
  </si>
  <si>
    <t xml:space="preserve">Arts, spectacles </t>
  </si>
  <si>
    <t>Métallurgie et fab ps mét sauf machines</t>
  </si>
  <si>
    <t>Postes des Ets actifs N-1</t>
  </si>
  <si>
    <t>Activités jurid., de gestion, d'architecture, d'ingénierie et d'analyses techn.</t>
  </si>
  <si>
    <t xml:space="preserve">Observatoire de l'activité économique et de l'emploi </t>
  </si>
  <si>
    <t>Glossaire</t>
  </si>
  <si>
    <t>La population municipale comprend les personnes ayant leur résidence habituelle (au sens du décret) sur le territoire de la commune, dans un logement ou une communauté, les personnes détenues dans les établissements pénitentiaires de la commune, les personnes sans-abri recensées sur le territoire de la commune et les personnes résidant habituellement dans une habitation mobile recensée sur le territoire de la commune. Elle ne comporte pas de doubles comptes : chaque personne vivant en France est comptée une fois et une seule.</t>
  </si>
  <si>
    <t>L'établissement est une unité de production géographiquement individualisée, mais juridiquement dépendante de l'entreprise. L'établissement, unité de production, constitue le niveau le mieux adapté à une approche géographique de l'économie.</t>
  </si>
  <si>
    <t>Remarque : la population des établissements est relativement stable dans le temps et est moins affectée par les mouvements de restructuration juridique et financière que celle des entreprises.</t>
  </si>
  <si>
    <t>La statistique des créations d'établissements est constituée à partir des informations du répertoire des entreprises et des établissements (REE-Sirene).</t>
  </si>
  <si>
    <t>Depuis le 1er janvier 2007, la notion de création d'établissements, en cohérence avec la notion de création d'entreprise qui s'appuie sur un concept harmonisé au niveau européen pour faciliter les comparaisons, correspond à la mise en œuvre de nouveaux moyens de production.</t>
  </si>
  <si>
    <t>Remarque : depuis le 1er janvier 2007, la statistique des créations d'établissements couvre l'ensemble des activités marchandes hors agriculture.</t>
  </si>
  <si>
    <t>Nombre d'étudiants dans les universités, les écoles de commerce, les écoles paramédicales ainsi que les sections de techniciens supérieurs.</t>
  </si>
  <si>
    <t xml:space="preserve">Mobilité des bacheliers dans les universités </t>
  </si>
  <si>
    <t>Il s'agit du diplôme le plus élevé obtenu par la personne.</t>
  </si>
  <si>
    <t>Retrace la valeur des biens exportés et la valeur des biens importés. Pour calculer la balance commerciale, la comptabilité nationale procède à l'évaluation des importations et des exportations de biens à partir des statistiques douanières de marchandises.</t>
  </si>
  <si>
    <t>Nuitée hôtellerie / Taux d'occupation</t>
  </si>
  <si>
    <t>Observatoire régional du Tourisme / Enquête de Fréquentation dans l'Hôtellerie</t>
  </si>
  <si>
    <t>L'enquête de fréquentation hôtelière est effectuée mensuellement auprès des hôtels classés tourisme (0 à 4 étoiles luxe) et des hôtels de chaînes non classés.</t>
  </si>
  <si>
    <t>Nombre d'actifs 15-64 ans</t>
  </si>
  <si>
    <t>La population active, au sens du recensement, est composée des actifs ayant un emploi et des chômeurs.</t>
  </si>
  <si>
    <t>Les emplois au lieu de travail ne se confondent pas avec la population active ayant un emploi, qui est comptée au lieu de résidence : une personne active ayant un emploi peut résider dans une commune A et avoir un emploi dans une commune B.</t>
  </si>
  <si>
    <t>Le taux d'emploi d'une classe d'individus est calculé en rapportant le nombre d'individus de la classe ayant un emploi au nombre total d'individus dans la classe. Il peut être calculé sur l'ensemble de la population d'un pays, mais on se limite le plus souvent à la population en âge de travailler (soit comme ici les personnes âgées de 15 à 64 ans), ou à une sous-catégorie de la population en âge de travailler (femmes de 25 à 29 ans par exemple).</t>
  </si>
  <si>
    <t>Le concept de « cadres des fonctions métropolitaines » (CFM) vise à offrir une notion proche des emplois « stratégiques », en assurant la cohérence avec les fonctions. La présence d'emplois « stratégiques » est utilisée dans l'approche du rayonnement ou de l'attractivité d'un territoire.</t>
  </si>
  <si>
    <t>Ces emplois « stratégiques » sont définis comme les cadres et les chefs d'entreprises de 10 salariés ou plus des 5 fonctions métropolitaines.</t>
  </si>
  <si>
    <t>Le champ du secteur privé Acoss-Urssaf couvre l’ensemble des entreprises employeuses du secteur concurrentiel, affiliées au régime général et exerçant leur activité en France (métropole et Dom).</t>
  </si>
  <si>
    <r>
      <t xml:space="preserve">Sont </t>
    </r>
    <r>
      <rPr>
        <b/>
        <sz val="9"/>
        <color theme="1"/>
        <rFont val="Calibri"/>
        <family val="2"/>
        <scheme val="minor"/>
      </rPr>
      <t>exclus de ce champ </t>
    </r>
    <r>
      <rPr>
        <sz val="9"/>
        <color theme="1"/>
        <rFont val="Calibri"/>
        <family val="2"/>
        <scheme val="minor"/>
      </rPr>
      <t>:  l</t>
    </r>
    <r>
      <rPr>
        <sz val="8"/>
        <color theme="1"/>
        <rFont val="Calibri"/>
        <family val="2"/>
        <scheme val="minor"/>
      </rPr>
      <t>es établissements relevant du régime agricole (cf. infra) ; les administrations publiques (code APE commençant par 841 ou 842) ; les établissements de l’éducation non marchande (établissements d’enseignement relevant de l’Etat ou des collectivités locales) et de la santé non marchande, à savoir les établissements qui ont un code APE commençant par 85, 86, 87 ou 88 (éducation, santé, action sociale) et sont de catégorie juridique 7 (personne morale et organisme soumis au droit administratif) ; les employeurs de salariés à domicile.</t>
    </r>
  </si>
  <si>
    <t xml:space="preserve">Elle permet aussi de fournir une grille d'analyse des processus d'externalisation et autres mutations économiques à l'œuvre dans les territoires. </t>
  </si>
  <si>
    <t>Les activités présentielles sont les activités mises en œuvre localement pour la production de biens et de services visant la satisfaction des besoins de personnes présentes dans la zone, qu'elles soient résidentes ou touristes.</t>
  </si>
  <si>
    <t>Les demandeurs d'emploi sont les personnes qui s'inscrivent à Pôle Emploi. Ces demandeurs sont enregistrés à Pôle Emploi dans différentes catégories de demandes d'emploi en fonction de leur disponibilité, du type de contrat recherché et de la quotité de temps de travail souhaité.</t>
  </si>
  <si>
    <t>Déclaration Préalable à l'Embauche</t>
  </si>
  <si>
    <t>L'enquête Besoins en Main-d'Œuvre</t>
  </si>
  <si>
    <t>Offre d'emploi des cadres</t>
  </si>
  <si>
    <t>Revenu médian par unité de consommation</t>
  </si>
  <si>
    <t>Nombre de brevets publiés en 2009</t>
  </si>
  <si>
    <t>La partition de l'économie en deux sphères, présentielle et productive, permet de mieux comprendre les logiques de spatialisation des activités et de mettre en évidence le degré d'ouverture des systèmes productifs locaux.</t>
  </si>
  <si>
    <t>Les activités productives sont déterminées par différence. Il s'agit des activités qui produisent des biens majoritairement consommés hors de la zone et des activités de services tournées principalement vers les entreprises de cette sphère.</t>
  </si>
  <si>
    <t>Part des micro-entrepreneurs</t>
  </si>
  <si>
    <t xml:space="preserve"> Insee, 2015</t>
  </si>
  <si>
    <t xml:space="preserve">Nombre d'habitants </t>
  </si>
  <si>
    <t>CFM</t>
  </si>
  <si>
    <t>ZE Lens - Hénin</t>
  </si>
  <si>
    <t>menu déroulant</t>
  </si>
  <si>
    <t>Nb Passagers</t>
  </si>
  <si>
    <t>LR evolution</t>
  </si>
  <si>
    <t>LC evolution</t>
  </si>
  <si>
    <t>Paris - Orly</t>
  </si>
  <si>
    <t>Nice Côte d'Azur</t>
  </si>
  <si>
    <t>Lyon-Saint Exupéry</t>
  </si>
  <si>
    <t>Toulouse - Blagnac</t>
  </si>
  <si>
    <t>Bordeaux - Mérignac</t>
  </si>
  <si>
    <t>Nantes Atlantique</t>
  </si>
  <si>
    <t>Lille - Lesquin</t>
  </si>
  <si>
    <t>Montpellier Méditerranée</t>
  </si>
  <si>
    <t>trafic N-2</t>
  </si>
  <si>
    <t>trafic N-1</t>
  </si>
  <si>
    <t>Port Evolution</t>
  </si>
  <si>
    <t>Ne pas effacer - données ci-dessous !</t>
  </si>
  <si>
    <t>ZE Marseille</t>
  </si>
  <si>
    <t>Enseignement supérieur, recherche et emplois stratégiques</t>
  </si>
  <si>
    <t>Source : Observatoire des sciences et des techniques</t>
  </si>
  <si>
    <t>Consommation et richesse dégagée</t>
  </si>
  <si>
    <t>Source : Insee, Fichier économique enrichi 2011</t>
  </si>
  <si>
    <t>Taux de croissance annuel moyen</t>
  </si>
  <si>
    <t>Les 10 métiers les plus recherchés dans le bassin d'emploi selon la saisonnalité et la difficulté de recrutement</t>
  </si>
  <si>
    <t>Uniquement au niveau local</t>
  </si>
  <si>
    <t>Indice de spécialisation par rapport à la France métropolitaine</t>
  </si>
  <si>
    <t>Privée</t>
  </si>
  <si>
    <t>Publique</t>
  </si>
  <si>
    <t>b</t>
  </si>
  <si>
    <t>a</t>
  </si>
  <si>
    <t>c</t>
  </si>
  <si>
    <t>d</t>
  </si>
  <si>
    <t>e</t>
  </si>
  <si>
    <t>f</t>
  </si>
  <si>
    <t>g</t>
  </si>
  <si>
    <t>h</t>
  </si>
  <si>
    <t>j</t>
  </si>
  <si>
    <t>k</t>
  </si>
  <si>
    <t>l</t>
  </si>
  <si>
    <t>m</t>
  </si>
  <si>
    <t>n</t>
  </si>
  <si>
    <t>i</t>
  </si>
  <si>
    <t xml:space="preserve">Libellé de la branche </t>
  </si>
  <si>
    <t>code de la branche en A17</t>
  </si>
  <si>
    <t>Dépt</t>
  </si>
  <si>
    <t>lib</t>
  </si>
  <si>
    <t>Balance</t>
  </si>
  <si>
    <t>Ident</t>
  </si>
  <si>
    <t>Produit-CPF4</t>
  </si>
  <si>
    <t>lib dept</t>
  </si>
  <si>
    <t>Export N</t>
  </si>
  <si>
    <t>Import N</t>
  </si>
  <si>
    <t>Cuivre</t>
  </si>
  <si>
    <t>Produits amylacés</t>
  </si>
  <si>
    <t>Masse</t>
  </si>
  <si>
    <t xml:space="preserve">Détail : </t>
  </si>
  <si>
    <t>Pas-de-Calais1</t>
  </si>
  <si>
    <t>Pas-de-Calais2</t>
  </si>
  <si>
    <t>Pas-de-Calais3</t>
  </si>
  <si>
    <t>Voir feuille Pep douanes</t>
  </si>
  <si>
    <t>NB emploi France</t>
  </si>
  <si>
    <t>Nombre de publications old</t>
  </si>
  <si>
    <t>Nuitées étrangères</t>
  </si>
  <si>
    <t>Part nuités étrang C_N-1</t>
  </si>
  <si>
    <t>source : Y\GRI\Dat\alpha\tourisme\base\F_Insee-DGCIS_Conso-tourist-2011.xls</t>
  </si>
  <si>
    <t>France métro.</t>
  </si>
  <si>
    <t>TCAM* : Taux de croissance annuel moyen</t>
  </si>
  <si>
    <t>Taux de croissance annuel moyen (TCAM)</t>
  </si>
  <si>
    <t>Il correspond à la variation de la population au cours d'une période de temps et s'exprime en pourcentage du nombre d'individu.</t>
  </si>
  <si>
    <t>Les non salariés sont les personnes qui travaillent mais sont rémunérées sous une autre forme qu'un salaire.</t>
  </si>
  <si>
    <t>Selon le Code de la sécurité sociale, les indépendants ou non-salariés se distinguent des salariés par l'absence de contrat de travail, et par le fait qu'ils n'ont pas de lien de subordination juridique permanente à l'égard d'un donneur d'ordre.</t>
  </si>
  <si>
    <t>Indépendant ou non-salarié</t>
  </si>
  <si>
    <t>Non salariés : Indépendants, Employeurs, Aides familiaux</t>
  </si>
  <si>
    <r>
      <t>L'e</t>
    </r>
    <r>
      <rPr>
        <sz val="10"/>
        <color rgb="FF000000"/>
        <rFont val="Avenir LT Std 35 Light"/>
        <family val="2"/>
      </rPr>
      <t xml:space="preserve">ntreprise est une unité économique, juridiquement autonome, organisée pour produire des biens ou des services pour le marché. </t>
    </r>
  </si>
  <si>
    <t>Le régime du micro-entrepreneur est la nouvelle dénomination pour celui de l'auto-entrepreneur depuis le 19 décembre 2014. Ce régime a été mis en place par la loi de modernisation de l'économie (LME) d'août 2008 et s'applique depuis le 1er janvier 2009 aux personnes physiques qui créent, ou possèdent déjà, une entreprise individuelle pour exercer une activité commerciale, artisanale ou libérale (hormis certaines activités exclues), à titre principal ou complémentaire.</t>
  </si>
  <si>
    <t>http://www.developpement-durable.gouv.fr/Trafics-des-principaux-ports.html</t>
  </si>
  <si>
    <t>Tonnage</t>
  </si>
  <si>
    <t>Le Havre</t>
  </si>
  <si>
    <t>C’est un système d'information alimenté par différentes sources dont l'objectif est de fournir des statistiques localisées au lieu de travail jusqu'au niveau communal, sur l'emploi salarié et les rémunérations pour les différentes activités des secteurs marchand et non marchand.</t>
  </si>
  <si>
    <t>Les données sur l'emploi salarié résultent d'une mise en cohérence des informations issues de l’exploitation :</t>
  </si>
  <si>
    <t>- des DADS (Déclarations Annuelles de Données Sociales) ;</t>
  </si>
  <si>
    <t>- du système d'information sur les agents de l'État.</t>
  </si>
  <si>
    <t>Fabrication d'aliments, boisson et produits à base de tabac</t>
  </si>
  <si>
    <t>Fabrication d'équipements électriques, électroniques, informatiques et machines</t>
  </si>
  <si>
    <t>Industrie extractive, énergie, eau, gestionn des déchets et dépollution</t>
  </si>
  <si>
    <t>Secteurs d'activité des emplois salariés</t>
  </si>
  <si>
    <t>Regroupement de la NAF 17 en 12 postes :</t>
  </si>
  <si>
    <t xml:space="preserve">Industries manufacturières, industries extractives et autres regroupent : </t>
  </si>
  <si>
    <t>Caen Ouistreham</t>
  </si>
  <si>
    <t>Nantes / St- Nazaire</t>
  </si>
  <si>
    <t>Activités aéroportuaires</t>
  </si>
  <si>
    <r>
      <rPr>
        <b/>
        <u/>
        <sz val="10"/>
        <color theme="1"/>
        <rFont val="Avenir LT Std 35 Light"/>
        <family val="2"/>
      </rPr>
      <t>dont low cost :</t>
    </r>
    <r>
      <rPr>
        <sz val="10"/>
        <color theme="1"/>
        <rFont val="Avenir LT Std 35 Light"/>
        <family val="2"/>
      </rPr>
      <t xml:space="preserve"> nombre de passagers d'une compagnie aérienne à bas prix (en anglais low cost) : compagnie aérienne qui, à la suite de l'abolition des règles limitant la concurrence, à partir de 1978 aux États-Unis, plus tard sur d'autres continents, s'est positionnée sur le créneau commercial du transport aérien à moindre prix en limitant ou en supprimant les services annexes au sol et en vol.</t>
    </r>
  </si>
  <si>
    <t>                    + droits et taxes sur les produits</t>
  </si>
  <si>
    <t>                    - subventions sur les produits.</t>
  </si>
  <si>
    <t>La valeur ajoutée est la différence entre la valeur des biens ou services produits par une entreprise ou une branche et celle des biens et services utilisés pour la production, dite des «consommations intermédiaires».</t>
  </si>
  <si>
    <t>PIB et Valeur Ajoutée</t>
  </si>
  <si>
    <t>Insee 2013</t>
  </si>
  <si>
    <t>"VERS UNE CROISSANCE PLUS INCLUSIVE DE LA METROPOLE AIX-MARSEILLE : UNE PERSPECTIVE INTERNATIONALE © OCDE 2014"</t>
  </si>
  <si>
    <t>OCDE 2014</t>
  </si>
  <si>
    <t>Volume et évolution du trafic</t>
  </si>
  <si>
    <t>Nombre d'étudiants</t>
  </si>
  <si>
    <t>Enseignement supérieur</t>
  </si>
  <si>
    <t>Nombre de Chercheurs en R&amp;D</t>
  </si>
  <si>
    <t>Activités de droit privé liées à un service public</t>
  </si>
  <si>
    <t>Activités scientifiques et techn. ; services administratifs et de soutien</t>
  </si>
  <si>
    <t>Support service public</t>
  </si>
  <si>
    <t>MA Support service public</t>
  </si>
  <si>
    <t>%Support service public</t>
  </si>
  <si>
    <t>Activités de droit privé en support d'un service public</t>
  </si>
  <si>
    <t>Classement du ratio entre le nombre d'étudiants et la population des académies</t>
  </si>
  <si>
    <t>Evolution rentrée précédente</t>
  </si>
  <si>
    <t>Fréquentation et taux d'occupation (T.O.)</t>
  </si>
  <si>
    <t>T.O.</t>
  </si>
  <si>
    <t>Méthode d’estimations des emplois liés au tourisme</t>
  </si>
  <si>
    <t>L’estimation de l’emploi lié au tourisme repose ainsi sur le repérage des secteurs d’activités concernés par le tourisme et leur classement selon leur degré de touristicité :</t>
  </si>
  <si>
    <t>- dans les activités 100 % touristiques, tout l’emploi est considéré comme emploi touristique ;</t>
  </si>
  <si>
    <t>- dans les activités partiellement touristiques, l’emploi touristique est estimé en retranchant à l’emploi total un emploi théorique lié aux résidents.</t>
  </si>
  <si>
    <t>Pour certaines activités, comme le transport de voyageurs, il n’est pas possible de localiser précisément les touristes qui en bénéficient. Ces emplois sont liés au tourisme, mais pas au lieu de séjour des touristes. Dans cette étude, ils ont été répartis dans chaque région métropolitaine, en fonction de la localisation des établissements auxquels ils sont rattachés. Mais ils sont exclus des analyses territoriales plus fines, qui ne concernent que les emplois locaux liés au tourisme, c’est-à-dire ceux induits par la présence de touristes.</t>
  </si>
  <si>
    <t>France Metro.</t>
  </si>
  <si>
    <t>Ets actifs commerce &amp; rep auto N-1</t>
  </si>
  <si>
    <t>Commerce &amp; rep auto</t>
  </si>
  <si>
    <t>Balance commerciale</t>
  </si>
  <si>
    <t>Rang sur 12 académies</t>
  </si>
  <si>
    <t>rang des AU ou ZE</t>
  </si>
  <si>
    <t>Taux d'activité</t>
  </si>
  <si>
    <t>Emplois sans limite de durée : CDI (contrats à durée indéterminée), titulaires de la fonction publique</t>
  </si>
  <si>
    <t>Evolution des offres d'emploi sur le site de l'APEC de manière hebdomadaire. Le traitement est spécifiquement effectué par l'a-urba.</t>
  </si>
  <si>
    <t>Le taux de chômage est le rapport (en %) entre une estimation du nombre de chômeurs et la population active au lieu de résidence. La population active comprend les personnes occupant un emploi et les chômeurs.</t>
  </si>
  <si>
    <t xml:space="preserve">Les demandeurs faisant partie de la catégorie A sont les demandeurs d'emploi tenus de faire des actes positifs de recherche d'emploi, sans emploi </t>
  </si>
  <si>
    <t>La tendance de l'évolution est calculée sur l'année antérieure (2013- 2014)</t>
  </si>
  <si>
    <t>Agrégat représentant le résultat final de l'activité de production des unités productrices résidentes.</t>
  </si>
  <si>
    <t>Il peut se définir de trois manières :</t>
  </si>
  <si>
    <t>- le PIB est égal à la somme des valeurs ajoutées brutes des différents secteurs institutionnels ou des différentes branches d'activité, augmentée des impôts moins les subventions sur les produits (lesquels ne sont pas affectés aux secteurs et aux branches d'activité) ;</t>
  </si>
  <si>
    <t>- le PIB est égal à la somme des emplois des comptes d'exploitation des secteurs institutionnels : rémunération des salariés, impôts sur la production et les importations moins les subventions, excédent brut d'exploitation et revenu mixte.</t>
  </si>
  <si>
    <t>          Valeur ajoutée brute totale des entreprises</t>
  </si>
  <si>
    <t>PIB :</t>
  </si>
  <si>
    <t>Industrie extractive, énergie, eau, gestion des déchets et dépollution</t>
  </si>
  <si>
    <t>Emplois créatifs</t>
  </si>
  <si>
    <t>Emplois dans la haute technologie</t>
  </si>
  <si>
    <t>Fabrication de produits pharmaceutiques de base</t>
  </si>
  <si>
    <t>Fabrication de préparations pharmaceutiques</t>
  </si>
  <si>
    <t>Fabrication de composants électroniques</t>
  </si>
  <si>
    <t>Fabrication de cartes électroniques assemblées</t>
  </si>
  <si>
    <t>Fabrication d'ordinateurs et d'équipements périphériques</t>
  </si>
  <si>
    <t>Fabrication d'équipements de communication</t>
  </si>
  <si>
    <t>Fabrication de produits électroniques grand public</t>
  </si>
  <si>
    <t>Fabrication d'équipements d'aide à la navigation</t>
  </si>
  <si>
    <t>Fabrication d'instrumentation scientifique et technique</t>
  </si>
  <si>
    <t>Horlogerie</t>
  </si>
  <si>
    <t>Fabrication d'équipements d'irradiation médicale, d'équipements électromédicaux et électrothérapeutiques</t>
  </si>
  <si>
    <t>Fabrication de matériels optique et photographique</t>
  </si>
  <si>
    <t>Fabrication de supports magnétiques et optiques</t>
  </si>
  <si>
    <t>Construction aéronautique et spatiale</t>
  </si>
  <si>
    <t>Les emplois dans la haute technologie sont issus, selon la nomenclature OCDE-Eurostat-Insee, des secteurs d’activité économique (NAF rev.2) suivants :</t>
  </si>
  <si>
    <t>L'hébergement marchand est défini comme un hébergement donnant lieu à une rémunération de la prestation offerte entre le loueur et l'hébergeur. Par opposition, l'hébergement non marchand ne donne pas lieu à une rémunération (résidence principale ou secondaire de parents et amis, résidence secondaire personnelle).</t>
  </si>
  <si>
    <t>Les nuitées (ou fréquentation) correspondent au nombre total de nuits passées par les clients dans un hôtel ou un camping ; un couple séjournant trois nuits consécutives dans un hôtel compte ainsi pour six nuitées, de même que six personnes ne séjournant qu'une nuit. La fréquentation des campings est observée uniquement entre mai et septembre.</t>
  </si>
  <si>
    <t>Pour visualiser les périmètres étudiés dans l'ensemble du document, cliquez ici</t>
  </si>
  <si>
    <t>Entr de moins de 5 ans N-1</t>
  </si>
  <si>
    <t>Entr de moins de 5 ans N-2</t>
  </si>
  <si>
    <t>Nombre d'entreprises</t>
  </si>
  <si>
    <t>Nombre d'établissements</t>
  </si>
  <si>
    <t>Part dans la Population active</t>
  </si>
  <si>
    <t>Nombre de chercheurs publics / privés en équivalent temps plein</t>
  </si>
  <si>
    <t>Nombre de nuitées</t>
  </si>
  <si>
    <t>Estimation de l'emploi</t>
  </si>
  <si>
    <t>Pour l’Insee, les déclarations annuelles de données sociales (DADS) de 2011 permettent d’avoir accès, pour chaque salarié, à diverses informations : la nature de l’emploi et la qualification, les dates de début et de fin de période de paie, le nombre d’heures salariées, la condition d’emploi (temps complet, temps partiel), le montant des rémunérations versées, etc. Ces informations sont complétées sur le champ des non-salariés par le fichier de l’Agence centrale des organismes de sécurité sociale (Acoss) de 2011.</t>
  </si>
  <si>
    <t>Source : Insee, DADS et ACOSS 2011</t>
  </si>
  <si>
    <t>Densité (en hab/km²)</t>
  </si>
  <si>
    <t>BAC, BAC Pro</t>
  </si>
  <si>
    <t>Arts et façonnage d'ouvrages d'art</t>
  </si>
  <si>
    <t>Santé</t>
  </si>
  <si>
    <t>Support à l'entreprise</t>
  </si>
  <si>
    <t>NAF 17 regroupée en 12 postes</t>
  </si>
  <si>
    <t>Part dans l'effectif</t>
  </si>
  <si>
    <t>Part des établissements</t>
  </si>
  <si>
    <t>Nombre d'étudiants (public et privé)</t>
  </si>
  <si>
    <t>Part dans total nuitées</t>
  </si>
  <si>
    <t>Cartographie des périmètres utilisés</t>
  </si>
  <si>
    <t>C'est le rapport entre les actifs 15-64 ans sur la population des 15-64 ans.</t>
  </si>
  <si>
    <t>Emplois à durée limitée : CDD (contrats à durée déterminée), contrats courts, saisonniers, vacataires...</t>
  </si>
  <si>
    <t xml:space="preserve">Demandeurs d'emploi  en fin de mois   Catégorie A  </t>
  </si>
  <si>
    <t>Ces données n'existent qu'à l'échelle départementale.</t>
  </si>
  <si>
    <r>
      <rPr>
        <b/>
        <sz val="10"/>
        <color theme="1"/>
        <rFont val="Avenir LT Std 35 Light"/>
        <family val="2"/>
      </rPr>
      <t xml:space="preserve">Taux d'occupation : </t>
    </r>
    <r>
      <rPr>
        <sz val="10"/>
        <color theme="1"/>
        <rFont val="Avenir LT Std 35 Light"/>
        <family val="2"/>
      </rPr>
      <t>rapport obtenu en divisant le nombre de chambres (ou d'emplacements) occupées par le nombre de chambres (ou d'emplacements) effectivement disponibles (c'est-à-dire en excluant les fermetures saisonnières) sur une période donnée.</t>
    </r>
  </si>
  <si>
    <t xml:space="preserve">Offre d'hébergement marchand </t>
  </si>
  <si>
    <t>Le tourisme, de loisirs ou d’affaires, génère de l’activité dans un certain nombre de secteurs économiques, notamment dans les services. Certains y sont totalement dédiés, comme les hôtels ou les parcs d’attraction, et d’autres y sont partiellement dédiés, pouvant répondre à la fois aux besoins de la population résidente et à ceux des touristes, selon des proportions variables. C’est le cas par exemple de la restauration, de l’organisation de congrès, des commerces.</t>
  </si>
  <si>
    <t>Conditions d'emploi et marché du travail</t>
  </si>
  <si>
    <t>Demandeurs d'emploi en fin de mois, selon l'ancienneté d'inscription</t>
  </si>
  <si>
    <t>Sans diplôme</t>
  </si>
  <si>
    <t>Cadres / prof. intellectuelles</t>
  </si>
  <si>
    <t>Prof. intermédiaires</t>
  </si>
  <si>
    <t>Superficie (en km²)</t>
  </si>
  <si>
    <t>Activités scientif et techn; services admin et de soutien</t>
  </si>
  <si>
    <t>Rang (chercheurs pour 1 000 habitants)</t>
  </si>
  <si>
    <t>Culture Loisirs</t>
  </si>
  <si>
    <t>L'indice de concentration de l'emploi ou taux d’attraction de l’emploi désigne le rapport entre le nombre d’emplois offerts dans une commune et les actifs ayant un emploi qui résident dans la commune.</t>
  </si>
  <si>
    <t>Elle est obligatoire depuis le 1er septembre 1993, pour tous les employeurs relevant du secteur privé. Cette déclaration s'effectue dans un organisme de sécurité sociale.</t>
  </si>
  <si>
    <t>Taux de chômage localisé par zone d'emploi</t>
  </si>
  <si>
    <t>- le PIB est égal à la somme des emplois intérieurs de biens et de services (consommation finale effective, formation brute de capital fixe, variations de stocks), plus les exportations, moins les importations ;</t>
  </si>
  <si>
    <t>Aire Urbaine Fonctionnelle</t>
  </si>
  <si>
    <t>- des données de la Mutualité Sociale Agricole (MSA) en complément des données des Urssaf ;</t>
  </si>
  <si>
    <t>- des bordereaux récapitulatifs de cotisations de l’Urssaf ;</t>
  </si>
  <si>
    <t>Le revenu déclaré par unité de consommation (UC) est le "revenu par équivalent adulte". Il est calculé en rapportant le revenu du ménage au nombre d'unités de consommation qui le composent. Toutes les personnes rattachées au même ménage fiscal ont le même revenu déclaré par UC.
Aussi, pour comparer les niveaux de vie de ménages de taille ou de composition différente, on utilise une mesure du revenu corrigé par unité de consommation à l'aide d'une échelle d'équivalence. L'échelle actuellement la plus utilisée (dite de l'OCDE) retient la pondération suivante :
- 1 UC pour le premier adulte du ménage ;
- 0,5 UC pour les autres personnes de 14 ans ou plus ;
- 0,3 UC pour les enfants de moins de 14 ans.</t>
  </si>
  <si>
    <t>Nombre d'em-plois salariés</t>
  </si>
  <si>
    <t xml:space="preserve">Le taux d'entrepreneuriat est le rapport entre la création d'entreprises et la population active. </t>
  </si>
  <si>
    <t>Indication des principaux produits importés  et exportés ainsi que des principaux pays d'échange.</t>
  </si>
  <si>
    <t>Les passagers commerciaux désignent les passagers voyageant sur des aeronefs exploités à des fins commerciales.</t>
  </si>
  <si>
    <t>http://www.acoss.fr/home/observatoire-economique/publications/acoss-stat/acoss-stat-n227.html</t>
  </si>
  <si>
    <t>NEW ! Données semestrielle ACOSS</t>
  </si>
  <si>
    <t>Créations / radiation / activité / Chiffre d'affaire</t>
  </si>
  <si>
    <t>http://www.insee.fr/fr/themes/detail.asp?reg_id=99&amp;ref_id=base-cc-salaire-net-horaire-moyen</t>
  </si>
  <si>
    <t>http://bmo.pole-emploi.org/bmo?graph=1&amp;in=4&amp;lc=0&amp;pp=2016</t>
  </si>
  <si>
    <t>http://www.insee.fr/fr/themes/detail.asp?reg_id=99&amp;ref_id=base-cc-demo-entreprises</t>
  </si>
  <si>
    <t>Auto entreprneur</t>
  </si>
  <si>
    <t>R_Acoss</t>
  </si>
  <si>
    <t>eff2009</t>
  </si>
  <si>
    <t>eff2010</t>
  </si>
  <si>
    <t>eff2011</t>
  </si>
  <si>
    <t>eff2012</t>
  </si>
  <si>
    <t>eff2013</t>
  </si>
  <si>
    <t>eff2014</t>
  </si>
  <si>
    <t>idgéo</t>
  </si>
  <si>
    <t>ZE Douai Lens</t>
  </si>
  <si>
    <t xml:space="preserve">min : </t>
  </si>
  <si>
    <t xml:space="preserve">max : </t>
  </si>
  <si>
    <t>15-T3</t>
  </si>
  <si>
    <t>15-T4</t>
  </si>
  <si>
    <t>Avertissement : L’introduction de la Déclaration sociale nominative (DSN) en remplacement du bordereau récapitulatif de cotisations (BRC) peut transitoirement affecter les comportements déclaratifs des entreprises. Durant la phase de montée en charge de la DSN, des adaptations sont réalisées dans la chaîne de traitement statistique des estimations d’emploi afin de tenir compte de ces changements. Ces modifications sont susceptibles de générer des révisions accrues sur les données, y compris pour les estimations du taux de chômage ; le niveau d'emploi intervenant dans le calcul du dénominateur du taux de chômage.</t>
  </si>
  <si>
    <t>16-T1</t>
  </si>
  <si>
    <t>Académie de Marseille :</t>
  </si>
  <si>
    <t>Département 13</t>
  </si>
  <si>
    <t>Département 04</t>
  </si>
  <si>
    <t>Département 05</t>
  </si>
  <si>
    <t>Département 84</t>
  </si>
  <si>
    <t>Académie de Nice :</t>
  </si>
  <si>
    <t>Département 83</t>
  </si>
  <si>
    <t>Département 06</t>
  </si>
  <si>
    <t>Académie de Lyon :</t>
  </si>
  <si>
    <t>01</t>
  </si>
  <si>
    <t>Académie de Grenoble :</t>
  </si>
  <si>
    <t xml:space="preserve">► Attention ! Pour connaitre les effectifs de l'université de Nancy-Metz, il faut additionner la ligne "Grand Etablissement : MENSER" </t>
  </si>
  <si>
    <t xml:space="preserve">► Attention ! Constitution des académies de Marseille, Nice, Lyon et Grenoble : </t>
  </si>
  <si>
    <t>eff2015</t>
  </si>
  <si>
    <t>TCAM* 
2008 - 2015</t>
  </si>
  <si>
    <t>Evolution de l'emploi salarié privé base 100 en 2008</t>
  </si>
  <si>
    <t>LT</t>
  </si>
  <si>
    <t>Emploi total Exp Princ</t>
  </si>
  <si>
    <t>Emploi salarié total Exp Princ</t>
  </si>
  <si>
    <t>Nombre d'actifs de 15 - 64 ans en 2013</t>
  </si>
  <si>
    <t>0 diplôme CEP - Brevet coll</t>
  </si>
  <si>
    <t>Enseignement sup</t>
  </si>
  <si>
    <t>Recensement INSEE 2013</t>
  </si>
  <si>
    <t>2008 - 2013</t>
  </si>
  <si>
    <t>La tendance de l'évolution du nombre d'habitants est calculée sur 5 ans (2008-2013).</t>
  </si>
  <si>
    <t>Emplois (exploitation principale)</t>
  </si>
  <si>
    <t>ACOSS 2015</t>
  </si>
  <si>
    <t>INSEE 2016</t>
  </si>
  <si>
    <t xml:space="preserve"> Insee, Sirene, démographie des entreprises 2015</t>
  </si>
  <si>
    <t xml:space="preserve"> Insee Sirene 2015 + Insee recensement  2013</t>
  </si>
  <si>
    <t>La tendance de l'évolution est calculée sur l'année antérieure (2015 - 2014)</t>
  </si>
  <si>
    <t>=S/T</t>
  </si>
  <si>
    <t>=M/V</t>
  </si>
  <si>
    <t>Part de jeunes entreprises / Taux de survie</t>
  </si>
  <si>
    <t>INSEE DADS 2013</t>
  </si>
  <si>
    <t>Evol Salaire horaire net moyen n-2/n-1</t>
  </si>
  <si>
    <t>Total avril 2016 - sept 2016</t>
  </si>
  <si>
    <t>Evolution 2014 - 2015</t>
  </si>
  <si>
    <t>Données de l'union des aéroports français 2015</t>
  </si>
  <si>
    <t>APEC 2016</t>
  </si>
  <si>
    <t>http://www.lantenne.com/Les-ports-francais_a14374.html</t>
  </si>
  <si>
    <t>L'Insee a décidé de retirer les informations concernant l'ancienneté des entreprises au niveau local pour des raisons de fiabilité. 
Cependant, l'Insee étudie la possibilité de réintégrer des données sur l'ancienneté des entreprises à un niveau plus agrégé mais à une date non déterminée pour le moment.
Pour l'année 2015, nous ne pouvons pas calculer le taux de survie et la part des jeunes entreprises.</t>
  </si>
  <si>
    <t>Insee-DGFiP 2013</t>
  </si>
  <si>
    <t>La tendance de l'évolution s'établit à n-1 soit 2013 par rapport à 2012.</t>
  </si>
  <si>
    <t>1. Aucun diplôme ou au mieux BEPC, brevet des collèges, DNB</t>
  </si>
  <si>
    <t>2. CAP, BEP</t>
  </si>
  <si>
    <t>3. Baccalauréat</t>
  </si>
  <si>
    <t>4.Diplôme d'études supérieurs</t>
  </si>
  <si>
    <t>Diplôme d'études supérieures</t>
  </si>
  <si>
    <t>Direction générale des infrastructures, des transports et de la mer 2015</t>
  </si>
  <si>
    <t>Marché du travail</t>
  </si>
  <si>
    <t>Emploi salarié (exploitation principale)</t>
  </si>
  <si>
    <t>Trafic maritime en tonnes.</t>
  </si>
  <si>
    <t>Classement du ratio des emplois créatifs sur l'emploi salarié privé total (entre les Zones d'Emploi ou entre les Aires Urbaines)</t>
  </si>
  <si>
    <t>Classement du ratio des emplois CFM sur l'emploi total (entre les Zones d'Emploi ou entre les Aires Urbaines)</t>
  </si>
  <si>
    <t>Résultat du quotient de la masse des salaires nets rapportée au nombre d’heures salariées calculé sur tous les postes effectués par le salarié au cours de l’année (hors indemnités chômage). Le nombre d’heures salariées prend en compte les heures supplémentaires rémunérées et toutes les périodes au cours desquelles le salarié demeure lié à un établissement du fait du contrat de travail (congés, période de maladie et d’accident de travail), à l’exception des périodes de congés sans solde. A compter de 2013, le montant des cotisations patronales aux complémentaires santé obligatoires (CPCSO) a été intégré dans le calcul du salaire net.</t>
  </si>
  <si>
    <t>Egalement disponible en 38 postes ici</t>
  </si>
  <si>
    <t>Ce fichier présente les taux de chômage localisés par zone d'emploi, en moyenne trimestrielle. La nouvelle série va de 2008 à 2016. Ces taux ont été calculés de façon cohérente avec les taux de chômage régionaux et départementaux qui sont disponibles aux mêmes dates.</t>
  </si>
  <si>
    <t>Remarque : la population active n'étant mise à jour que dans le recensement, c'est donc la valeur 2013 qui a été prise pour le calcul.</t>
  </si>
  <si>
    <t>part des étudiants / habitants</t>
  </si>
  <si>
    <t>Médiane du revenu disponible : partage équiréparti de la population observée de manière à obtenir deux groupes. Une moitié disposant d’un revenu inférieur à cette médiane et l’autre disposant d’un revenu supérieur</t>
  </si>
  <si>
    <t xml:space="preserve">Depuis 2015, l’INSEE met à disposition un nouveau fichier traitant des données sur le revenu disponible. Ce nouveau fichier se nomme Fichier Localisé Social et Fiscal (FiLoSoFi). Il prend donc en compte les divers revenus (liés à l’activité, au patrimoine, aux produits financiers, ainsi que les retraites ou prestations sociales) déduits par la suite par les impôts directs. </t>
  </si>
  <si>
    <t xml:space="preserve">En raison d'un changement du  questionnaire sur  les diplômes à compter du RP 2013, l'information sur les diplômes ne peut pas être diffusée dans une version détaillée. </t>
  </si>
  <si>
    <t>Actifs de 15-64 ans ayant un emploi, par Profession et Catégorie Socioprofessionnelle en 6 postes</t>
  </si>
  <si>
    <t>Le salarié est une personne qui s'engage à exécuter un travail, à temps plein ou à temps partiel, pour le compte d'un employeur, en contrepartie d'un salaire ou d'une rétribution équivalente</t>
  </si>
  <si>
    <t>Autres salariés : En contrat d'apprentissage, placés par une agence d'intérim, en emplois jeunes ou autres emplois aidés, stagiaires rémunérés en entreprise</t>
  </si>
  <si>
    <t>Chaque année, Pôle emploi adresse un questionnaire à plus de 1,6 million d’établissements afin de connaître leurs besoins en recrutement par secteur d’activité et par bassin d’emploi. L'enquête permet entre autre :
-   d’anticiper les difficultés de recrutement;
-  d’améliorer l’orientation des demandeurs d’emploi vers des formations ou des métiers en adéquation avec les besoins du marché du travail;  
- d’informer les demandeurs d’emploi sur l’évolution de leur marché du travail et les métiers porteurs.</t>
  </si>
  <si>
    <t>L'Organisation de coopération et de développement économiques (OCDE), en collaboration avec la Commission européenne (Eurostat et la Direction générale chargée de la politique régionale à la Commission européenne) et les pays membres de l’OCDE, a élaboré une définition harmonisée des zones urbaines considérées en tant qu’unités économiques fonctionnelles. Il s’agit de municipalités très densément peuplées (centres urbains) auxquelles s’ajoutent les municipalités adjacentes qui présentent une intégration économique forte, mesurée par l’importance des trajets domicile-travail avec le centre urbain. Ces bassins de vie et d’emplois organisés autour d’une ou plusieurs villes-centres sont appelés des « aires urbaines fonctionnelles » (AUF).</t>
  </si>
  <si>
    <t>Les emplois créatifs sont issus de plusieurs secteurs d’activité économique (NAF rev.2) : architecture / cinéma, audiovisuel, photographie, musique / édition de jeux vidéo et logiciels / édition de livre et presse / publicité / spectacle vivant. Cette définition des industries créatives est cependant restrictive. Elle ne prend pas en compte les secteurs art/antiquités, mode, artisanat d’art et design, imparfaitement appréhendés dans les statistiques.</t>
  </si>
  <si>
    <t>Classement du ratio des emplois en Haute Technologie sur l'emploi salarié privé total (entre les Zones d'Emploi ou entre les Aires Urbaines)</t>
  </si>
  <si>
    <t>La consommation touristique intérieure (CTI), retrace la totalité des dépenses touristiques auprès des fournisseurs de biens et services résidant en France, réalisées par les touristes et les excursionnistes à la journée, qu’ils soient français ou étrangers. La CTI regroupe ainsi les dépenses liées aux activités caractéristiques du tourisme comme les services de transports non urbains, par avion, train, autocar, les transports fluvial et maritime assurés par des compagnies françaises, les restaurants et cafés et les hébergements touristiques marchands. Elle comprend aussi d’autres dépenses non spécifiques au tourisme comme les carburants, les transports urbains, les aliments et boissons, les souvenirs ou certains biens durables (bateaux, camping-cars, articles de voyage). Elle intègre également la valorisation (loyers fictifs) des nuitées passées dans les résidences secondaires.</t>
  </si>
  <si>
    <t>page</t>
  </si>
  <si>
    <t>id_rank</t>
  </si>
  <si>
    <t>rank</t>
  </si>
  <si>
    <t>Nb Projet</t>
  </si>
  <si>
    <t>Difficiles</t>
  </si>
  <si>
    <t>Saisonniers</t>
  </si>
  <si>
    <t>% Diff</t>
  </si>
  <si>
    <t>% Saisonnier</t>
  </si>
  <si>
    <t>Agents d'entretien y compris ATSEM</t>
  </si>
  <si>
    <t>Commerciaux (techniciens)</t>
  </si>
  <si>
    <t>Ouvriers non qualifiés des ind. agro-alimentaires</t>
  </si>
  <si>
    <t>id_BA</t>
  </si>
  <si>
    <t>Pôle emploi 2016</t>
  </si>
  <si>
    <t>Ces données n'existent que pour ces départements, le reste est à la région</t>
  </si>
  <si>
    <t xml:space="preserve">Insee - Tourisme / </t>
  </si>
  <si>
    <t>https://www.insee.fr/fr/statistiques/2021703</t>
  </si>
  <si>
    <t>Offre/actifs/semaine/N-3</t>
  </si>
  <si>
    <t>16-T2</t>
  </si>
  <si>
    <t>4T 2016</t>
  </si>
  <si>
    <t>6 à 11 mois</t>
  </si>
  <si>
    <t>12 à 23 mois</t>
  </si>
  <si>
    <t>24 à 35 mois</t>
  </si>
  <si>
    <t>???????</t>
  </si>
  <si>
    <t>16-T3</t>
  </si>
  <si>
    <t>https://www.insee.fr/fr/statistiques/1893220</t>
  </si>
  <si>
    <t xml:space="preserve">Produits intérieurs bruts régionaux et valeurs ajoutées régionales de 1990 à 2014 / Insee - </t>
  </si>
  <si>
    <t>Métropole</t>
  </si>
  <si>
    <t>Auvergne-Rhône-Alpes</t>
  </si>
  <si>
    <t>Grand Est</t>
  </si>
  <si>
    <t>Hauts-de-France</t>
  </si>
  <si>
    <t>Normandie</t>
  </si>
  <si>
    <t>Nouvelle-Aquitaine</t>
  </si>
  <si>
    <t>Occitanie</t>
  </si>
  <si>
    <t>Ancienne Région</t>
  </si>
  <si>
    <t>Nouvelles Régions</t>
  </si>
  <si>
    <t>Valeurs Ajoutées régionales de 2014 semi-définitives par branche NAF rev2, A17 en millions d'euros</t>
  </si>
  <si>
    <t>28</t>
  </si>
  <si>
    <t>32</t>
  </si>
  <si>
    <t>75</t>
  </si>
  <si>
    <t>Postes des Ets actifs au 31/12/2014</t>
  </si>
  <si>
    <t>Nombre de publications en 2013</t>
  </si>
  <si>
    <t>Evolution 2011 - 2013</t>
  </si>
  <si>
    <t>NB Chercheur</t>
  </si>
  <si>
    <t>Part public / privé en R&amp;D</t>
  </si>
  <si>
    <t>Même académie</t>
  </si>
  <si>
    <t>Autres académie françaises</t>
  </si>
  <si>
    <t>De l'Académie</t>
  </si>
  <si>
    <t>Autre Académie</t>
  </si>
  <si>
    <t>Bourgogne-Franche-Comté</t>
  </si>
  <si>
    <t>11</t>
  </si>
  <si>
    <t>24</t>
  </si>
  <si>
    <t>27</t>
  </si>
  <si>
    <t>94</t>
  </si>
  <si>
    <t>2016 - 2015</t>
  </si>
  <si>
    <t>2015-2016</t>
  </si>
  <si>
    <t>2015_2014</t>
  </si>
  <si>
    <t>2015-2014</t>
  </si>
  <si>
    <t>Evolution 2015 - 2016</t>
  </si>
  <si>
    <t xml:space="preserve">-  </t>
  </si>
  <si>
    <t>-</t>
  </si>
  <si>
    <t>Dont Bordeaux</t>
  </si>
  <si>
    <t>somme 2016</t>
  </si>
  <si>
    <t>Alpes Maritimes</t>
  </si>
  <si>
    <t>2016  (en Million)</t>
  </si>
  <si>
    <t>Moteurs, génératrices et transformateurs électriques</t>
  </si>
  <si>
    <t>Autres produits chimiques n.c.a.</t>
  </si>
  <si>
    <t>Navires et structures flottantes</t>
  </si>
  <si>
    <t>Déchets non dangereux | collecte des déchets non dangereux</t>
  </si>
  <si>
    <t>Autres machines d'usage général n.c.a.</t>
  </si>
  <si>
    <t>Appareils électroménagers</t>
  </si>
  <si>
    <t>Alpes Maritimes1</t>
  </si>
  <si>
    <t>Alpes Maritimes2</t>
  </si>
  <si>
    <t>Alpes Maritimes3</t>
  </si>
  <si>
    <t>Sphères économiques en 2014</t>
  </si>
  <si>
    <t>Besoin en main d'œuvre - Pole emploi - 2016 / http://bmo.pole-emploi.org/geo?fa=72&amp;fb=33&amp;le=0&amp;nc=0&amp;pp=2016#</t>
  </si>
  <si>
    <t>Asie/Océa-nie/Australie</t>
  </si>
  <si>
    <t>Urssaf 2016</t>
  </si>
  <si>
    <t>Pôle emploi novembre 2016</t>
  </si>
  <si>
    <t>Douanes 2016</t>
  </si>
  <si>
    <t>CLAP 2014</t>
  </si>
  <si>
    <t>Depp 2016</t>
  </si>
  <si>
    <t xml:space="preserve"> SISE 2016</t>
  </si>
  <si>
    <t>Eurolio 2009</t>
  </si>
  <si>
    <t>Insee-DGCIS, CRT Aquitaine 2016</t>
  </si>
  <si>
    <t xml:space="preserve"> Insee, DGCIS, CRT Aquitaine 2016</t>
  </si>
  <si>
    <t>Bourgogne Franche-Comté</t>
  </si>
  <si>
    <t>Ile de France</t>
  </si>
  <si>
    <t>F. Métro</t>
  </si>
  <si>
    <t>Lib_Gde-Region</t>
  </si>
  <si>
    <t>Provence - Alpes -Côte d'Azur</t>
  </si>
  <si>
    <t>OST</t>
  </si>
  <si>
    <t>RERS 2016</t>
  </si>
  <si>
    <t>Evol N-2_N-1</t>
  </si>
  <si>
    <t xml:space="preserve">RERS 2016 / </t>
  </si>
  <si>
    <t>http://www.education.gouv.fr/cid57096/reperes-et-references-statistiques.html#Donn%C3%A9es_publiques</t>
  </si>
  <si>
    <t>OST HCERES 2013</t>
  </si>
  <si>
    <t>port</t>
  </si>
  <si>
    <t>Académie d'inscription par rapport à celle d'obtention du BAC</t>
  </si>
  <si>
    <t>Lot et Garonne</t>
  </si>
  <si>
    <t>La tendance de l'évolution est calculée sur l'année antérieure (2015)</t>
  </si>
  <si>
    <r>
      <t xml:space="preserve">Origine des étudiants inscrits dans une </t>
    </r>
    <r>
      <rPr>
        <b/>
        <u/>
        <sz val="10"/>
        <color theme="1"/>
        <rFont val="Avenir LT Std 35 Light"/>
        <family val="2"/>
      </rPr>
      <t>université publique</t>
    </r>
    <r>
      <rPr>
        <sz val="10"/>
        <color theme="1"/>
        <rFont val="Avenir LT Std 35 Light"/>
        <family val="2"/>
      </rPr>
      <t xml:space="preserve"> selon l'académie d'obtention du baccalaurélat.</t>
    </r>
  </si>
  <si>
    <t>Dépôts de brevets</t>
  </si>
  <si>
    <t>Dépôts de publications</t>
  </si>
  <si>
    <t>Condition d'emploi (exploitaion complémentaire)</t>
  </si>
  <si>
    <t xml:space="preserve">Projet de recrutement </t>
  </si>
  <si>
    <t>Rapport à l'emploi total</t>
  </si>
  <si>
    <t>Spécialisation régionale de la valeur ajoutée par rapport à la France métropolitaine en 2014</t>
  </si>
  <si>
    <t>Produit exporté</t>
  </si>
  <si>
    <t>Valeur brute</t>
  </si>
  <si>
    <t>Produit importé</t>
  </si>
  <si>
    <t>Classement des 5 produits les plus échangés en valeur brute (en millier d'euros)</t>
  </si>
  <si>
    <t>Emploi salarié par secteur d'activité en 2014</t>
  </si>
  <si>
    <t>Effectif en 2015</t>
  </si>
  <si>
    <t>Part dans l'emploi salarié privé</t>
  </si>
  <si>
    <t>Enseignement supérieur, recherche innovation et emplois stratégiques</t>
  </si>
  <si>
    <t>Annexe</t>
  </si>
  <si>
    <t>Conjoncture Bordeaux Métropole / Emploi salarié privé</t>
  </si>
  <si>
    <t>T2-2012</t>
  </si>
  <si>
    <t>T1-2012</t>
  </si>
  <si>
    <t>T3-2012</t>
  </si>
  <si>
    <t>T4-2012</t>
  </si>
  <si>
    <t>T1-2013</t>
  </si>
  <si>
    <t>T2-2013</t>
  </si>
  <si>
    <t>T3-2013</t>
  </si>
  <si>
    <t>T4-2013</t>
  </si>
  <si>
    <t>T1-2014</t>
  </si>
  <si>
    <t>T2-2014</t>
  </si>
  <si>
    <t>T3-2014</t>
  </si>
  <si>
    <t>T4-2014</t>
  </si>
  <si>
    <t>T1-2015</t>
  </si>
  <si>
    <t>T2-2015</t>
  </si>
  <si>
    <t>T3-2015</t>
  </si>
  <si>
    <t>T4-2015</t>
  </si>
  <si>
    <t>T1-2016</t>
  </si>
  <si>
    <t>T2-2016</t>
  </si>
  <si>
    <t>T3-2016</t>
  </si>
  <si>
    <t>T4-2016</t>
  </si>
  <si>
    <t>Nombre total d'emplois</t>
  </si>
  <si>
    <t>Création trimestrielle d'emplois</t>
  </si>
  <si>
    <t>Agroalimentaire</t>
  </si>
  <si>
    <t>Commerce interentreprises</t>
  </si>
  <si>
    <t>Transports et logistique</t>
  </si>
  <si>
    <t>Hôtellerie - Restauration - Loisirs</t>
  </si>
  <si>
    <t>Immobilier</t>
  </si>
  <si>
    <t>Activités scientifiques ; services administratifs, de soutien</t>
  </si>
  <si>
    <t>Admin. Pub., enseignement, santé action soc.</t>
  </si>
  <si>
    <t xml:space="preserve">Min : </t>
  </si>
  <si>
    <t xml:space="preserve">Max : </t>
  </si>
  <si>
    <t>Conjoncture</t>
  </si>
  <si>
    <t>URSSAF 2016</t>
  </si>
  <si>
    <t>France Métro.</t>
  </si>
  <si>
    <t>Répartition des offres d'emploi des cadres par secteur d'activités</t>
  </si>
  <si>
    <t>Demandeurs d'emploi en fin de mois, selon l'âge du demandeur</t>
  </si>
  <si>
    <t xml:space="preserve">Activités portuaires </t>
  </si>
  <si>
    <t>Sommaire</t>
  </si>
  <si>
    <t>Enseignement supérieur, recherche, innovation et emplois stratégiques</t>
  </si>
  <si>
    <t>Classement 2016 des aéroports</t>
  </si>
  <si>
    <t>evol 2015 / 2016</t>
  </si>
  <si>
    <t>Trafic 2016</t>
  </si>
  <si>
    <t>Classement 2016 des aéroports : https://www.aeroport.fr/</t>
  </si>
  <si>
    <t>2009-2014</t>
  </si>
  <si>
    <t>eff2016</t>
  </si>
  <si>
    <t>2009-2016</t>
  </si>
  <si>
    <t>NOMBE17</t>
  </si>
  <si>
    <t>BE17_car</t>
  </si>
  <si>
    <t>code métier BMO</t>
  </si>
  <si>
    <t>ROUEN1</t>
  </si>
  <si>
    <t>ROUEN2</t>
  </si>
  <si>
    <t>ROUEN3</t>
  </si>
  <si>
    <t>ROUEN4</t>
  </si>
  <si>
    <t>ROUEN5</t>
  </si>
  <si>
    <t>ROUEN6</t>
  </si>
  <si>
    <t>ROUEN7</t>
  </si>
  <si>
    <t>ROUEN8</t>
  </si>
  <si>
    <t>ROUEN9</t>
  </si>
  <si>
    <t>ROUEN10</t>
  </si>
  <si>
    <t>LILLE1</t>
  </si>
  <si>
    <t>LILLE2</t>
  </si>
  <si>
    <t>LILLE3</t>
  </si>
  <si>
    <t>LILLE4</t>
  </si>
  <si>
    <t>LILLE5</t>
  </si>
  <si>
    <t>LILLE6</t>
  </si>
  <si>
    <t>LILLE7</t>
  </si>
  <si>
    <t>LILLE8</t>
  </si>
  <si>
    <t>LILLE9</t>
  </si>
  <si>
    <t>LILLE10</t>
  </si>
  <si>
    <t>LENS1</t>
  </si>
  <si>
    <t>LENS2</t>
  </si>
  <si>
    <t>LENS3</t>
  </si>
  <si>
    <t>LENS4</t>
  </si>
  <si>
    <t>LENS5</t>
  </si>
  <si>
    <t>LENS6</t>
  </si>
  <si>
    <t>LENS7</t>
  </si>
  <si>
    <t>LENS8</t>
  </si>
  <si>
    <t>LENS9</t>
  </si>
  <si>
    <t>LENS10</t>
  </si>
  <si>
    <t>STRASBOURG1</t>
  </si>
  <si>
    <t>STRASBOURG2</t>
  </si>
  <si>
    <t>STRASBOURG3</t>
  </si>
  <si>
    <t>STRASBOURG4</t>
  </si>
  <si>
    <t>STRASBOURG5</t>
  </si>
  <si>
    <t>STRASBOURG6</t>
  </si>
  <si>
    <t>STRASBOURG7</t>
  </si>
  <si>
    <t>STRASBOURG8</t>
  </si>
  <si>
    <t>STRASBOURG9</t>
  </si>
  <si>
    <t>STRASBOURG10</t>
  </si>
  <si>
    <t>NANTES1</t>
  </si>
  <si>
    <t>NANTES2</t>
  </si>
  <si>
    <t>NANTES3</t>
  </si>
  <si>
    <t>NANTES4</t>
  </si>
  <si>
    <t>NANTES5</t>
  </si>
  <si>
    <t>NANTES6</t>
  </si>
  <si>
    <t>NANTES7</t>
  </si>
  <si>
    <t>NANTES8</t>
  </si>
  <si>
    <t>NANTES9</t>
  </si>
  <si>
    <t>NANTES10</t>
  </si>
  <si>
    <t>RENNES1</t>
  </si>
  <si>
    <t>RENNES2</t>
  </si>
  <si>
    <t>RENNES3</t>
  </si>
  <si>
    <t>RENNES4</t>
  </si>
  <si>
    <t>RENNES5</t>
  </si>
  <si>
    <t>RENNES6</t>
  </si>
  <si>
    <t>RENNES7</t>
  </si>
  <si>
    <t>RENNES8</t>
  </si>
  <si>
    <t>RENNES9</t>
  </si>
  <si>
    <t>RENNES10</t>
  </si>
  <si>
    <t>BORDEAUX1</t>
  </si>
  <si>
    <t>BORDEAUX2</t>
  </si>
  <si>
    <t>BORDEAUX3</t>
  </si>
  <si>
    <t>BORDEAUX4</t>
  </si>
  <si>
    <t>BORDEAUX5</t>
  </si>
  <si>
    <t>BORDEAUX6</t>
  </si>
  <si>
    <t>BORDEAUX7</t>
  </si>
  <si>
    <t>BORDEAUX8</t>
  </si>
  <si>
    <t>BORDEAUX9</t>
  </si>
  <si>
    <t>BORDEAUX10</t>
  </si>
  <si>
    <t>TOULOUSE1</t>
  </si>
  <si>
    <t>TOULOUSE2</t>
  </si>
  <si>
    <t>TOULOUSE3</t>
  </si>
  <si>
    <t>TOULOUSE4</t>
  </si>
  <si>
    <t>TOULOUSE5</t>
  </si>
  <si>
    <t>TOULOUSE6</t>
  </si>
  <si>
    <t>TOULOUSE7</t>
  </si>
  <si>
    <t>TOULOUSE8</t>
  </si>
  <si>
    <t>TOULOUSE9</t>
  </si>
  <si>
    <t>TOULOUSE10</t>
  </si>
  <si>
    <t>GRENOBLE1</t>
  </si>
  <si>
    <t>GRENOBLE2</t>
  </si>
  <si>
    <t>GRENOBLE3</t>
  </si>
  <si>
    <t>GRENOBLE4</t>
  </si>
  <si>
    <t>GRENOBLE5</t>
  </si>
  <si>
    <t>GRENOBLE6</t>
  </si>
  <si>
    <t>GRENOBLE7</t>
  </si>
  <si>
    <t>GRENOBLE8</t>
  </si>
  <si>
    <t>GRENOBLE9</t>
  </si>
  <si>
    <t>GRENOBLE10</t>
  </si>
  <si>
    <t>MONTPELLIER1</t>
  </si>
  <si>
    <t>MONTPELLIER2</t>
  </si>
  <si>
    <t>MONTPELLIER3</t>
  </si>
  <si>
    <t>MONTPELLIER4</t>
  </si>
  <si>
    <t>MONTPELLIER5</t>
  </si>
  <si>
    <t>MONTPELLIER6</t>
  </si>
  <si>
    <t>MONTPELLIER7</t>
  </si>
  <si>
    <t>MONTPELLIER8</t>
  </si>
  <si>
    <t>MONTPELLIER9</t>
  </si>
  <si>
    <t>MONTPELLIER10</t>
  </si>
  <si>
    <t>MARSEILLE1</t>
  </si>
  <si>
    <t>MARSEILLE2</t>
  </si>
  <si>
    <t>MARSEILLE3</t>
  </si>
  <si>
    <t>MARSEILLE4</t>
  </si>
  <si>
    <t>MARSEILLE5</t>
  </si>
  <si>
    <t>MARSEILLE6</t>
  </si>
  <si>
    <t>MARSEILLE7</t>
  </si>
  <si>
    <t>MARSEILLE8</t>
  </si>
  <si>
    <t>MARSEILLE9</t>
  </si>
  <si>
    <t>MARSEILLE10</t>
  </si>
  <si>
    <t>LibCourt</t>
  </si>
  <si>
    <t>Manutentionnaires</t>
  </si>
  <si>
    <t>16-T4</t>
  </si>
  <si>
    <t>Effectifs salariés privés / source urssaf / Acoss 2016 http://www.acoss.fr/home/observatoire-economique/donnees-statistiques/bases-de-donnees.html</t>
  </si>
  <si>
    <t>Effectifs salariés privés selon la NA 5 postes en 2016</t>
  </si>
  <si>
    <t>Effectifs salariés privés selon la NA 5 postes en 2009</t>
  </si>
  <si>
    <t>Données Douanes 2016/ Data gouv -  Produits - http://www.douane.gouv.fr/datadouane/c797-data-commerce-exterieur</t>
  </si>
  <si>
    <t>2014/2015</t>
  </si>
  <si>
    <t>Pop 2014</t>
  </si>
  <si>
    <t>CFM 2014</t>
  </si>
  <si>
    <t>Emploi total RRP 2014</t>
  </si>
  <si>
    <t>=K/L</t>
  </si>
  <si>
    <t>Création micro-entreprises 2010-2016 - Insee / https://www.insee.fr/fr/recherche?q=micro-entrepreneurs&amp;debut=0</t>
  </si>
  <si>
    <t>PAS DE MISE A JOUR AU 18/07/2017</t>
  </si>
  <si>
    <t>OCDE : PIB et PIB par Habitant - http://stats.oecd.org/Index.aspx?QueryId=75617#</t>
  </si>
  <si>
    <t>Source : Eurostat http://appsso.eurostat.ec.europa.eu/nui/show.do?dataset=rd_p_persreg&amp;lang=fr</t>
  </si>
  <si>
    <t>Nombre d'emplois total du BE  RRP-Princ  2014</t>
  </si>
  <si>
    <t>Grand-Est</t>
  </si>
  <si>
    <t>RRP 2014 / Insee - http://www.insee.fr/fr/themes/detail.asp?reg_id=99&amp;ref_id=revenu-pauvrete-menage</t>
  </si>
  <si>
    <t>Recensement INSEE 2014</t>
  </si>
  <si>
    <t>ACOSS 2016</t>
  </si>
  <si>
    <t>Le champ du secteur privé Acoss-Urssaf couvre l’ensemble des entreprises employeuses du secteur concurrentiel, affiliées au régime général et exerçant leur activité en France (métropole et Dom) hors agriculture, sylviculture et pêche (secteur AZ, qui relève en grande partie de la Mutuelle sociale agricole), hors activités extra-terrioriales (UZ) et hors salariés des particuliers employeur depuis 2016.</t>
  </si>
  <si>
    <t>INSEE DADS 2014</t>
  </si>
  <si>
    <t>INSEE 2017</t>
  </si>
  <si>
    <t>La tendance de l'évolution du nombre d'habitants est calculée sur 5 ans (2009-2014).</t>
  </si>
  <si>
    <t>2009 - 2014</t>
  </si>
  <si>
    <t>Remarque : la population active n'étant mise à jour que dans le recensement, c'est donc la valeur 2014 qui a été prise pour le calcul.</t>
  </si>
  <si>
    <t>Fréquentation en gares</t>
  </si>
  <si>
    <t xml:space="preserve"> Insee, DGCIS, CRT Aquitaine 2017</t>
  </si>
  <si>
    <t>Taux d'activité en 2014</t>
  </si>
  <si>
    <t>Répartition des actifs occupés en 2014</t>
  </si>
  <si>
    <t>Niveau de qualification en 2014</t>
  </si>
  <si>
    <t>Conditions d'emploi en 2014</t>
  </si>
  <si>
    <t>Part des CDD dans l'emploi salarié en 2014</t>
  </si>
  <si>
    <t>Effectif 2016</t>
  </si>
  <si>
    <t>TCAM* 
2009- 2016</t>
  </si>
  <si>
    <t>TCAM* 
2009 - 2016</t>
  </si>
  <si>
    <t>Effectif en 2016</t>
  </si>
  <si>
    <t>Caractéristiques des emplois de cadres des fonctions métropolitaines (CFM) en 2014</t>
  </si>
  <si>
    <t>Emploi créatif 2016</t>
  </si>
  <si>
    <t>Part dans l'emploi salarié privé 2016</t>
  </si>
  <si>
    <t>Emploi CFM 2014</t>
  </si>
  <si>
    <t>Part dans l'emploi total 2014</t>
  </si>
  <si>
    <t>Volume et évolution de la fréquentation des voyageurs</t>
  </si>
  <si>
    <t>Gare</t>
  </si>
  <si>
    <t>Paris Nord</t>
  </si>
  <si>
    <t>Paris St Lazare</t>
  </si>
  <si>
    <t>Paris Gare de Lyon</t>
  </si>
  <si>
    <t>Paris Est</t>
  </si>
  <si>
    <t>Lyon Part Dieu</t>
  </si>
  <si>
    <t>Paris Austerlitz</t>
  </si>
  <si>
    <t>Lille Flandres</t>
  </si>
  <si>
    <t>Marseille Saint-Charles</t>
  </si>
  <si>
    <t>Bordeaux Saint-Jean</t>
  </si>
  <si>
    <t>Aéroport Charles de Gaulle 2 TGV</t>
  </si>
  <si>
    <t>Toulouse Matabiau</t>
  </si>
  <si>
    <t>Montpellier Saint-Roch</t>
  </si>
  <si>
    <t>Lille Europe</t>
  </si>
  <si>
    <t>https://ressources.data.sncf.com/explore/dataset/frequentation-gares/information/?sort=nom_gare</t>
  </si>
  <si>
    <t>Paris Montparnasse / Vaugirard</t>
  </si>
  <si>
    <t>Voyageurs N-1</t>
  </si>
  <si>
    <t>Voyageurs N-2</t>
  </si>
  <si>
    <t>Nombre d'habitants en 2014</t>
  </si>
  <si>
    <t>CLAP 2015 - Insee / https://www.insee.fr/fr/statistiques/2021289</t>
  </si>
  <si>
    <t>Sphères économiques en 2015</t>
  </si>
  <si>
    <t>CLAP 2015 - Insee /https://www.insee.fr/fr/statistiques/2517292</t>
  </si>
  <si>
    <t>etab-eff-sal-par-sates-NA5-ETAB-15.xlsx</t>
  </si>
  <si>
    <t>CLAP 2015 - Etablissement en Naf 17 regroupés en 12 postes - Insee / https://www.insee.fr/fr/statistiques/2517292</t>
  </si>
  <si>
    <t>CLAP 2015 - Etablissement en Naf 38 s - Insee / https://www.insee.fr/fr/statistiques/2517292</t>
  </si>
  <si>
    <t>Postes des Ets actifs au 31/12/2015</t>
  </si>
  <si>
    <t>Répartition des établissements par secteur en 2015</t>
  </si>
  <si>
    <t>Répartition des établissements par tranche d'effectif en 2015</t>
  </si>
  <si>
    <t>Répartition de l'emploi salarié 2015 en 38 postes</t>
  </si>
  <si>
    <t>CLAP 2015</t>
  </si>
  <si>
    <t>17-T1</t>
  </si>
  <si>
    <t xml:space="preserve">ZE Lens </t>
  </si>
  <si>
    <t>2016-12</t>
  </si>
  <si>
    <t>2017-01</t>
  </si>
  <si>
    <t>2017-02</t>
  </si>
  <si>
    <t>2017-03</t>
  </si>
  <si>
    <t>2017-04</t>
  </si>
  <si>
    <t>2017-05</t>
  </si>
  <si>
    <t>2017-06</t>
  </si>
  <si>
    <t>Evolution juin 16 / juin 17</t>
  </si>
  <si>
    <t>Pyrénées  Atlantiques</t>
  </si>
  <si>
    <t>1T 2017</t>
  </si>
  <si>
    <t>2T 2017</t>
  </si>
  <si>
    <t xml:space="preserve">Demandeurs d'emploi en fin de mois Catégorie A  </t>
  </si>
  <si>
    <t>T1-2017</t>
  </si>
  <si>
    <t>Trafic en 2015 (en tonnes)</t>
  </si>
  <si>
    <t>Emplacements dans campings classés</t>
  </si>
  <si>
    <t>2009-2014*</t>
  </si>
  <si>
    <t>*2009-2014 : TCAM = Taux de croissance annuel moyen</t>
  </si>
  <si>
    <t>Brevets pour 
10 000 emplois</t>
  </si>
  <si>
    <t>Publications pour 10 000 emplois</t>
  </si>
  <si>
    <t>Glossaire!A103</t>
  </si>
  <si>
    <t>Insee 2014</t>
  </si>
  <si>
    <t xml:space="preserve">(Offres /actifs * 1000) </t>
  </si>
  <si>
    <t>Offre/actifs/semaine/N-2</t>
  </si>
  <si>
    <t>Agriculture, espaces naturels, soins aux animaux</t>
  </si>
  <si>
    <t>part des temps complets</t>
  </si>
  <si>
    <t>Création trimestrielle d'emplois salariés privés sur Bordeaux Métropole</t>
  </si>
  <si>
    <t>Données structurelles</t>
  </si>
  <si>
    <t>Emploi salarié privé selon la nomenclature en 5 postes</t>
  </si>
  <si>
    <t>Emploi salarié par secteur d'activité</t>
  </si>
  <si>
    <t>Part dans l'effectif total</t>
  </si>
  <si>
    <t xml:space="preserve"> Part dans l'effectif total</t>
  </si>
  <si>
    <t>Évolution des déclarations préalables à l'embauche</t>
  </si>
  <si>
    <t>Hôtellerie - restauration / loisirs et animation</t>
  </si>
  <si>
    <t>Balance commerciale exprimée en million d'euros</t>
  </si>
  <si>
    <t>Activités portuaires</t>
  </si>
  <si>
    <t>Trafic en tonnes en 2015</t>
  </si>
  <si>
    <t>Évolution 14-15</t>
  </si>
  <si>
    <t>Voyageurs 2015</t>
  </si>
  <si>
    <t>Evolution du trafic de passagers commerciaux en base 100 en 2012</t>
  </si>
  <si>
    <t>Evolution de la fréquentation hôtelière en région en base 100 en 2012</t>
  </si>
  <si>
    <t>Evolution de la fréquentation étrangère à l'hôtel en région en base 100 en 2012</t>
  </si>
  <si>
    <t>En raison d'un changement du  questionnaire sur  les diplômes à compter du RP 2013, l'information sur les diplômes ne peut pas être diffusée dans une version détaillée. Quatre niveaux de détails sont proposés :</t>
  </si>
  <si>
    <t>Indication des principaux produits importés et exportés ainsi que des principaux pays d'échange.</t>
  </si>
  <si>
    <t>Ce fichier présente les taux de chômage localisés par zone d'emploi, en moyenne trimestrielle. Ces taux ont été calculés de façon cohérente avec les taux de chômage régionaux et départementaux qui sont disponibles aux mêmes dates.</t>
  </si>
  <si>
    <t>CLAP (Connaissance Locale de l'Appareil Productif) est un système d'information alimenté par différentes sources dont l'objectif est de fournir des statistiques localisées au lieu de travail jusqu'au niveau communal, sur l'emploi salarié et les rémunérations pour les différentes activités des secteurs marchand et non marchand.</t>
  </si>
  <si>
    <t>Indépendant ou non-salarié (exploitation complémentaire)</t>
  </si>
  <si>
    <t>Nombre d'habitants (exploitation principale)</t>
  </si>
  <si>
    <t>Nombre d'actifs 15-64 ans (exploitation principale)</t>
  </si>
  <si>
    <t>Taux d'activité (exploitation principale)</t>
  </si>
  <si>
    <t>Répartition des actifs occupés (exploitation complémentaire)</t>
  </si>
  <si>
    <t>Niveau de qualification (exploitation principale)</t>
  </si>
  <si>
    <t>Emploi dans la haute technologie 2016</t>
  </si>
  <si>
    <t>cette donnée n'existe qu'à partir de l'échelle départementale</t>
  </si>
  <si>
    <r>
      <rPr>
        <b/>
        <sz val="10"/>
        <rFont val="Avenir LT Std 35 Light"/>
        <family val="2"/>
      </rPr>
      <t>Offres d'emploi des cadres</t>
    </r>
    <r>
      <rPr>
        <sz val="10"/>
        <rFont val="Avenir LT Std 35 Light"/>
        <family val="2"/>
      </rPr>
      <t xml:space="preserve"> (Nombre moyen d'offres hebdomadaires pour 100 000 actifs)</t>
    </r>
  </si>
  <si>
    <t>Secteurs touristiques d'Aquitaine :</t>
  </si>
  <si>
    <t>Zoom secteurs touristiques aquitains</t>
  </si>
  <si>
    <t>Origine des touristes étrangers séjournant en Aquitaine en 2016</t>
  </si>
  <si>
    <t>nc</t>
  </si>
  <si>
    <t>Revenu annuel médian en 2014
par unité de consommation</t>
  </si>
  <si>
    <t>Insee-DGFiP 2014</t>
  </si>
  <si>
    <t>La tendance de l'évolution s'établit à n-1 soit 2014 par rapport à 2013.</t>
  </si>
  <si>
    <t>La  périodicité  des  déclarations  de  cotisations  permet  de  suivre  trimestriellement  les  effectifs  salariés  sur  l’ensemble  du  secteur  privé sur le périmètre de Bordeaux Métropole. (cf. Emploi salarié privé, ACOSS 2016)</t>
  </si>
  <si>
    <t>1. Aucun diplôme ou au mieux BEPC, brevet des collèges (DNB)</t>
  </si>
  <si>
    <t>L'Insee a décidé de retirer les informations concernant l'ancienneté des entreprises au niveau local pour des raisons de fiabilité. 
Cependant, l'Insee étudie la possibilité de réintégrer des données sur l'ancienneté des entreprises à un niveau plus agrégé mais à une date non déterminée pour le moment.
Pour l'année 2015, nous ne pouvons pas calculer le taux de survie ni la part des jeunes entreprises.</t>
  </si>
  <si>
    <t>17-T2</t>
  </si>
  <si>
    <t>17-T3</t>
  </si>
  <si>
    <t>Semi définitif</t>
  </si>
  <si>
    <t>Toute la série a été réimportée au 1er sem 2018</t>
  </si>
  <si>
    <t>aca_ins_lib 
Rentrée 2016 / 2017</t>
  </si>
  <si>
    <t>2017-07</t>
  </si>
  <si>
    <t>2017-08</t>
  </si>
  <si>
    <t>2017-09</t>
  </si>
  <si>
    <t>2017-10</t>
  </si>
  <si>
    <t>2017-11</t>
  </si>
  <si>
    <t>2017-12</t>
  </si>
  <si>
    <t>Évolution déc.-16 / déc.-17</t>
  </si>
  <si>
    <t>Déc 2016 /Déc 2017</t>
  </si>
  <si>
    <t>NB d'actifs 2014</t>
  </si>
  <si>
    <t>Académies et régions académiques</t>
  </si>
  <si>
    <t xml:space="preserve">  STS et assimilés</t>
  </si>
  <si>
    <t xml:space="preserve"> CPGE</t>
  </si>
  <si>
    <t>Formations d'ingénieurs (2)</t>
  </si>
  <si>
    <t>Écoles de commerce, gestion et vente (3)</t>
  </si>
  <si>
    <t>Autres écoles et formations (4)</t>
  </si>
  <si>
    <t>Ensemble (5)</t>
  </si>
  <si>
    <t>Évolution 2016/2015 (%)</t>
  </si>
  <si>
    <t xml:space="preserve">France métropolitaine </t>
  </si>
  <si>
    <t>Universités Total (1)</t>
  </si>
  <si>
    <t>Université dont préparation DUT</t>
  </si>
  <si>
    <t>Académies et régions académiques  
Rentrée 2016 / 2017</t>
  </si>
  <si>
    <r>
      <rPr>
        <b/>
        <sz val="8"/>
        <rFont val="Arial"/>
        <family val="2"/>
      </rPr>
      <t>1.</t>
    </r>
    <r>
      <rPr>
        <sz val="8"/>
        <rFont val="Arial"/>
        <family val="2"/>
      </rPr>
      <t xml:space="preserve"> Les inscriptions dans les ESPÉ (voir « Définitions ») ne sont diffusables qu’au niveau académique. Compte tenu des difficultés d'identification des masters préparant aux concours d’enseignement, les évolutions par établissement ne sont pas diffusés.</t>
    </r>
  </si>
  <si>
    <r>
      <rPr>
        <b/>
        <sz val="8"/>
        <rFont val="Arial"/>
        <family val="2"/>
      </rPr>
      <t xml:space="preserve">2. </t>
    </r>
    <r>
      <rPr>
        <sz val="8"/>
        <rFont val="Arial"/>
        <family val="2"/>
      </rPr>
      <t>Les évolutions hors doubles inscriptions en CPGE figurent entre parenthèses. Ces inscriptions parallèles concernent particulièrement les nouveaux entrants.</t>
    </r>
  </si>
  <si>
    <r>
      <rPr>
        <b/>
        <sz val="8"/>
        <rFont val="Arial"/>
        <family val="2"/>
      </rPr>
      <t xml:space="preserve">3. </t>
    </r>
    <r>
      <rPr>
        <sz val="8"/>
        <rFont val="Arial"/>
        <family val="2"/>
      </rPr>
      <t>Le CUFR Albi est devenu institut national universitaire Jean-François Champollion au 1</t>
    </r>
    <r>
      <rPr>
        <vertAlign val="superscript"/>
        <sz val="8"/>
        <rFont val="Arial"/>
        <family val="2"/>
      </rPr>
      <t>er</t>
    </r>
    <r>
      <rPr>
        <sz val="8"/>
        <rFont val="Arial"/>
        <family val="2"/>
      </rPr>
      <t xml:space="preserve"> décembre 2015.</t>
    </r>
  </si>
  <si>
    <r>
      <rPr>
        <b/>
        <i/>
        <sz val="8"/>
        <rFont val="Arial"/>
        <family val="2"/>
      </rPr>
      <t>Lecture :</t>
    </r>
    <r>
      <rPr>
        <i/>
        <sz val="8"/>
        <rFont val="Arial"/>
        <family val="2"/>
      </rPr>
      <t xml:space="preserve"> l’évolution des effectifs des DOM entre 2015-2016 et 2016-2017 est de 1,3 %. En excluant les inscriptions parallèles en CPGE, l’évolution des effectifs des DOM est alors de 0,6 %.</t>
    </r>
  </si>
  <si>
    <t>Source : MESRI-SIES / Système d’information SISE.</t>
  </si>
  <si>
    <t>© SIES</t>
  </si>
  <si>
    <t>http://www.education.gouv.fr/cid57096/reperes-et-references-statistiques.html</t>
  </si>
  <si>
    <t>Bretagne (Rennes)</t>
  </si>
  <si>
    <t>Pays de la Loire (Nantes)</t>
  </si>
  <si>
    <t>Académie : rentrée 2016 - 2017</t>
  </si>
  <si>
    <t>Origine des étudiants en 2e cycle ou plus dans les universités (rentrée 2016 / 2017)</t>
  </si>
  <si>
    <t>2017  (en Million)</t>
  </si>
  <si>
    <t>Solde 2017-2016</t>
  </si>
  <si>
    <t>evol 2017-2016</t>
  </si>
  <si>
    <t>2053</t>
  </si>
  <si>
    <t>1107</t>
  </si>
  <si>
    <t>Boissons rafraîchissantes | eaux minérales et autres eaux en bouteille</t>
  </si>
  <si>
    <t>2120</t>
  </si>
  <si>
    <t>3030</t>
  </si>
  <si>
    <t>3212</t>
  </si>
  <si>
    <t>3250</t>
  </si>
  <si>
    <t>Instruments et fournitures à usage médical et dentaire</t>
  </si>
  <si>
    <t>2910</t>
  </si>
  <si>
    <t>1920</t>
  </si>
  <si>
    <t>1413</t>
  </si>
  <si>
    <t>1520</t>
  </si>
  <si>
    <t>2410</t>
  </si>
  <si>
    <t>2016</t>
  </si>
  <si>
    <t>2651</t>
  </si>
  <si>
    <t>Instruments et appareils de mesure, d'essai et de navigation</t>
  </si>
  <si>
    <t>2931</t>
  </si>
  <si>
    <t>Équipements électriques et électroniques automobiles</t>
  </si>
  <si>
    <t>1200</t>
  </si>
  <si>
    <t>Produits à base de tabac</t>
  </si>
  <si>
    <t>2630</t>
  </si>
  <si>
    <t>Équipements de communication</t>
  </si>
  <si>
    <t>2042</t>
  </si>
  <si>
    <t>2620</t>
  </si>
  <si>
    <t>1102</t>
  </si>
  <si>
    <t>2932</t>
  </si>
  <si>
    <t>2017</t>
  </si>
  <si>
    <t>Caoutchouc synthétique sous formes primaires</t>
  </si>
  <si>
    <t>2711</t>
  </si>
  <si>
    <t>2059</t>
  </si>
  <si>
    <t>2814</t>
  </si>
  <si>
    <t>2020</t>
  </si>
  <si>
    <t>Pesticides et autres produits agrochimiques</t>
  </si>
  <si>
    <t>1051</t>
  </si>
  <si>
    <t>2813</t>
  </si>
  <si>
    <t>1011</t>
  </si>
  <si>
    <t>2892</t>
  </si>
  <si>
    <t>2444</t>
  </si>
  <si>
    <t>2712</t>
  </si>
  <si>
    <t>2611</t>
  </si>
  <si>
    <t>Composants électroniques</t>
  </si>
  <si>
    <t>1041</t>
  </si>
  <si>
    <t>2822</t>
  </si>
  <si>
    <t>3011</t>
  </si>
  <si>
    <t>3811</t>
  </si>
  <si>
    <t>1020</t>
  </si>
  <si>
    <t>Préparations et conserves à base de poisson et de produits de la pêche</t>
  </si>
  <si>
    <t>2211</t>
  </si>
  <si>
    <t>Pneumatiques | rechapage et resculptage de pneumatiques</t>
  </si>
  <si>
    <t>1062</t>
  </si>
  <si>
    <t>2110</t>
  </si>
  <si>
    <t>2652</t>
  </si>
  <si>
    <t>2829</t>
  </si>
  <si>
    <t>2751</t>
  </si>
  <si>
    <t>2441</t>
  </si>
  <si>
    <t>1032</t>
  </si>
  <si>
    <t>3220</t>
  </si>
  <si>
    <t>Instruments de musique</t>
  </si>
  <si>
    <t>1039</t>
  </si>
  <si>
    <t>Autres préparations et conserves à base de fruits et légumes</t>
  </si>
  <si>
    <t>1089</t>
  </si>
  <si>
    <t>Autres produits alimentaires n.c.a.</t>
  </si>
  <si>
    <t>2320</t>
  </si>
  <si>
    <t>Produits réfractaires</t>
  </si>
  <si>
    <t>1084</t>
  </si>
  <si>
    <t>Autriche</t>
  </si>
  <si>
    <t>Voyageurs 2016</t>
  </si>
  <si>
    <t>Évolution 15-16</t>
  </si>
  <si>
    <t>Nombre de voyageurs en 2016</t>
  </si>
  <si>
    <t>Evolution 2015- 2016</t>
  </si>
  <si>
    <t>Nombre de voyageurs en 2016 (hors gares parisiennes)</t>
  </si>
  <si>
    <t>Code</t>
  </si>
  <si>
    <t>Libelle</t>
  </si>
  <si>
    <t>SommeDeELT14</t>
  </si>
  <si>
    <t>Avignon</t>
  </si>
  <si>
    <t>Lens-Hénin</t>
  </si>
  <si>
    <t>Empl Compl LT</t>
  </si>
  <si>
    <t>Metropole</t>
  </si>
  <si>
    <t>ELT14</t>
  </si>
  <si>
    <t>PROD_14</t>
  </si>
  <si>
    <t>PRES_14</t>
  </si>
  <si>
    <t>ELT09</t>
  </si>
  <si>
    <t>PROD_09</t>
  </si>
  <si>
    <t>PRES_09</t>
  </si>
  <si>
    <t>ELT99</t>
  </si>
  <si>
    <t>PROD_99</t>
  </si>
  <si>
    <t>PRES_99</t>
  </si>
  <si>
    <t>ELT90</t>
  </si>
  <si>
    <t>PROD_90</t>
  </si>
  <si>
    <t>PRES_90</t>
  </si>
  <si>
    <t>ELT82</t>
  </si>
  <si>
    <t>PROD_82</t>
  </si>
  <si>
    <t>PRES_82</t>
  </si>
  <si>
    <t>ELT75</t>
  </si>
  <si>
    <t>PROD_75</t>
  </si>
  <si>
    <t>PRES_75</t>
  </si>
  <si>
    <t>Sphère résidentielle</t>
  </si>
  <si>
    <t>Analyse des entreprises au 31 décembre 2016</t>
  </si>
  <si>
    <t>Analyse des établissements au 31 décembre 2016</t>
  </si>
  <si>
    <t>http://www.insee.fr/fr/themes/detail.asp?reg_id=99&amp;ref_id=micro-entrepreneurs2016</t>
  </si>
  <si>
    <t>Total sept 2017 - Fev 2018</t>
  </si>
  <si>
    <t>16-17</t>
  </si>
  <si>
    <t>Offres par actifs / 24 N-1</t>
  </si>
  <si>
    <t>Offres par actifs / 19 N-2</t>
  </si>
  <si>
    <t>Lib-regroupement</t>
  </si>
  <si>
    <t>Sept. 2017 à Fev. 2018</t>
  </si>
  <si>
    <t>Nb d'offres APEC / Actifs 2014 * 100000 / 24 semaines (06 sept 2017 - 28 Fev 2018)</t>
  </si>
  <si>
    <t>Offres par actifs_24 N-1</t>
  </si>
  <si>
    <t>Nombre de demandes d'emploi par secteur d'activités sur Bordeaux Métropole en décembre 2017</t>
  </si>
  <si>
    <t>Nouvelle Aquitaine</t>
  </si>
  <si>
    <t>Trimestre</t>
  </si>
  <si>
    <t>CDD long</t>
  </si>
  <si>
    <t>CDD court</t>
  </si>
  <si>
    <t>3T 2017</t>
  </si>
  <si>
    <t>4T 2017</t>
  </si>
  <si>
    <t>Population en 2014 (princ)</t>
  </si>
  <si>
    <t>P14_ACT1564</t>
  </si>
  <si>
    <t>Nombre de chercheurs (public et privé) en 2014</t>
  </si>
  <si>
    <t>Evolution 2013 - 2014</t>
  </si>
  <si>
    <t>Last SNA classification (SNA 2008 or latest available)</t>
  </si>
  <si>
    <t>Regional GDP</t>
  </si>
  <si>
    <t>USD per head, constant prices, constant PPP, base year 2010</t>
  </si>
  <si>
    <t>All regions</t>
  </si>
  <si>
    <t xml:space="preserve"> CLAP 2015</t>
  </si>
  <si>
    <t>Historique : recensements 1975 à 2014</t>
  </si>
  <si>
    <t>URSSAF 2017</t>
  </si>
  <si>
    <t>APEC 2017 - 2018</t>
  </si>
  <si>
    <t>Pôle emploi Décembre  2017</t>
  </si>
  <si>
    <t xml:space="preserve"> Insee, Sirene, démographie des entreprises 2016</t>
  </si>
  <si>
    <t>La tendance de l'évolution est calculée sur l'année antérieure (2016 - 2015)</t>
  </si>
  <si>
    <t xml:space="preserve"> Insee, 2016</t>
  </si>
  <si>
    <t xml:space="preserve"> Insee Sirene 2016 + Insee recensement  2014</t>
  </si>
  <si>
    <t>La tendance de l'évolution est calculée sur l'année antérieure (2014- 2015)</t>
  </si>
  <si>
    <t>Douanes 2017</t>
  </si>
  <si>
    <t>OpenData SNCF, Gares &amp; connexions, 2016</t>
  </si>
  <si>
    <t>Depp 2017</t>
  </si>
  <si>
    <t xml:space="preserve"> SISE 2017</t>
  </si>
  <si>
    <t>RERS 2017</t>
  </si>
  <si>
    <t>La recherche et développement dans les régions. La répartition régionale de la recherche et développement (R&amp;D) - Elle s’entend ici au sens de la localisation des travaux de R&amp;D exécutés. Ces informations sont obtenues par voie d’enquêtes statistiques. Les travaux de R&amp;D dans les entreprises sont intégralement répartis dans les régions par les entreprises elles-mêmes. 
Pour les administrations, les travaux de R&amp;D d’une partie des associations ne peuvent pas être répartis dans les régions. En 2014, 99 % de la DIRDA, 99 % des effectifs totaux et 99 % des chercheurs sont répartis géographiquement.</t>
  </si>
  <si>
    <t>PIB par habitant</t>
  </si>
  <si>
    <t>OCDE 2017</t>
  </si>
  <si>
    <t>Le fichier diffusé est une estimation de la fréquentation des voyageurs dans les 3 032 gares voyageurs en 2016 et 2015, ainsi que la fréquentation des non voyageurs dans les 49 gares les plus fréquentées. Il est disponible sur la plateforme Open Data de la SNCF.</t>
  </si>
  <si>
    <t>Brevets et publication</t>
  </si>
  <si>
    <t>Evolution de l'emploi total selon les sphères productives et présentielles depuis 1975</t>
  </si>
  <si>
    <t>PIB par habitant en $ des départements en 2015</t>
  </si>
  <si>
    <r>
      <t xml:space="preserve">Balance commerciale 2017 </t>
    </r>
    <r>
      <rPr>
        <sz val="7"/>
        <color theme="1"/>
        <rFont val="Calibri"/>
        <family val="2"/>
        <scheme val="minor"/>
      </rPr>
      <t xml:space="preserve">(en million d'euros) et évolution 2016 - 2017 </t>
    </r>
    <r>
      <rPr>
        <sz val="11"/>
        <color theme="1"/>
        <rFont val="Calibri"/>
        <family val="2"/>
        <scheme val="minor"/>
      </rPr>
      <t>:</t>
    </r>
  </si>
  <si>
    <t>Fréquentation en gares en 2016</t>
  </si>
  <si>
    <t>Le salarié est une personne qui s'engage à exécuter un travail, à temps plein ou à temps partiel, pour le compte d'un employeur, en contrepartie d'un salaire ou d'une rétribution équivalente.</t>
  </si>
  <si>
    <t>Le graphique en évolution est réalisé à partir des données sur l'emploi total des recensements.</t>
  </si>
  <si>
    <t>Les demandeurs faisant partie de la catégorie A sont les demandeurs d'emploi tenus de faire des actes positifs de recherche d'emploi, sans emploi.</t>
  </si>
  <si>
    <t xml:space="preserve">Depuis 2015, l’Insee met à disposition un nouveau fichier traitant des données sur le revenu disponible. Ce nouveau fichier se nomme Fichier Localisé Social et Fiscal (FiLoSoFi). Il prend donc en compte les divers revenus (liés à l’activité, au patrimoine, aux produits financiers, ainsi que les retraites ou prestations sociales) déduits par la suite par les impôts directs. </t>
  </si>
  <si>
    <t>C'est le rapport entre les actifs 15-64 ans et la population des 15-64 ans.</t>
  </si>
  <si>
    <t>Prix constants (année de base nationale, prix de l'année précédente, année de base OCDE: 2010). À des fins comparatives, les séries sont exprimées en dollars US prix courants et prix constants. Pour les pays de la Zone Euro, les données en monnaie nationale de toutes les années sont calculées en utilisant le taux de change fixe contre l’euro. Données fournies par l'insee à l'OCDE.</t>
  </si>
  <si>
    <t>La tendance de l'évolution est calculée sur l'année antérieure (2016)</t>
  </si>
  <si>
    <t>3T 2016</t>
  </si>
  <si>
    <t>Evolution des emplois de cadre des fonctions métropolitaines en base 100 en 1999</t>
  </si>
  <si>
    <t>Valeurs Ajoutées régionales de 2015 semi-définitives par branche NAF rev2, A17 en millions d'euros</t>
  </si>
  <si>
    <t xml:space="preserve">Produits intérieurs bruts régionaux et valeurs ajoutées régionales de 1990 à 2015 / Insee - </t>
  </si>
  <si>
    <t>Offre d'hébergement marchand en 2018</t>
  </si>
  <si>
    <t>Insee-DGCIS, CRT Aquitaine 2018</t>
  </si>
  <si>
    <t>LYON CENTRE1</t>
  </si>
  <si>
    <t>LYON CENTRE</t>
  </si>
  <si>
    <t>LYON CENTRE2</t>
  </si>
  <si>
    <t>LYON CENTRE3</t>
  </si>
  <si>
    <t>LYON CENTRE4</t>
  </si>
  <si>
    <t>LYON CENTRE5</t>
  </si>
  <si>
    <t>LYON CENTRE6</t>
  </si>
  <si>
    <t>LYON CENTRE7</t>
  </si>
  <si>
    <t>LYON CENTRE8</t>
  </si>
  <si>
    <t>LYON CENTRE9</t>
  </si>
  <si>
    <t>LYON CENTRE10</t>
  </si>
  <si>
    <t>Bassin d'Avignon1</t>
  </si>
  <si>
    <t>Bassin d'Avignon2</t>
  </si>
  <si>
    <t>Bassin d'Avignon3</t>
  </si>
  <si>
    <t>Bassin d'Avignon4</t>
  </si>
  <si>
    <t>Bassin d'Avignon5</t>
  </si>
  <si>
    <t>Bassin d'Avignon6</t>
  </si>
  <si>
    <t>Bassin d'Avignon7</t>
  </si>
  <si>
    <t>Bassin d'Avignon8</t>
  </si>
  <si>
    <t>Bassin d'Avignon9</t>
  </si>
  <si>
    <t>Bassin d'Avignon10</t>
  </si>
  <si>
    <t>Bassin Toulounnais1</t>
  </si>
  <si>
    <t>Bassin Toulounnais</t>
  </si>
  <si>
    <t>Bassin Toulounnais2</t>
  </si>
  <si>
    <t>Bassin Toulounnais3</t>
  </si>
  <si>
    <t>Bassin Toulounnais4</t>
  </si>
  <si>
    <t>Bassin Toulounnais5</t>
  </si>
  <si>
    <t>Bassin Toulounnais6</t>
  </si>
  <si>
    <t>Bassin Toulounnais7</t>
  </si>
  <si>
    <t>Bassin Toulounnais8</t>
  </si>
  <si>
    <t>Bassin Toulounnais9</t>
  </si>
  <si>
    <t>Bassin Toulounnais10</t>
  </si>
  <si>
    <t>Bassin Niçois1</t>
  </si>
  <si>
    <t>Bassin Niçois2</t>
  </si>
  <si>
    <t>Bassin Niçois3</t>
  </si>
  <si>
    <t>Bassin Niçois4</t>
  </si>
  <si>
    <t>Bassin Niçois5</t>
  </si>
  <si>
    <t>Bassin Niçois6</t>
  </si>
  <si>
    <t>Bassin Niçois7</t>
  </si>
  <si>
    <t>Bassin Niçois8</t>
  </si>
  <si>
    <t>Bassin Niçois9</t>
  </si>
  <si>
    <t>Bassin Niçois10</t>
  </si>
  <si>
    <t>Principaux métiers recherchés par les entreprises en 2018</t>
  </si>
  <si>
    <t>Pôle Emploi 2018</t>
  </si>
  <si>
    <t>Trafic 2017</t>
  </si>
  <si>
    <t>2016/2017</t>
  </si>
  <si>
    <t>Paris - Beauvais</t>
  </si>
  <si>
    <t>Nombre de passagers 2017</t>
  </si>
  <si>
    <t>Evolution 2016 - 2017</t>
  </si>
  <si>
    <t>dont low cost 2017</t>
  </si>
  <si>
    <t>2801</t>
  </si>
  <si>
    <t>3216</t>
  </si>
  <si>
    <t>3227</t>
  </si>
  <si>
    <t>4441</t>
  </si>
  <si>
    <t>7532</t>
  </si>
  <si>
    <t>7617</t>
  </si>
  <si>
    <t>7642</t>
  </si>
  <si>
    <t>8412</t>
  </si>
  <si>
    <t>8428</t>
  </si>
  <si>
    <t>L'enquête "Besoins en Main d'Œuvre" selon les bassins d'emploi en 2018</t>
  </si>
  <si>
    <t>Bassin Toulonnais1</t>
  </si>
  <si>
    <t>Nombre d'emplois au T1 2017</t>
  </si>
  <si>
    <t>Emplois créés au cours du T1 2017</t>
  </si>
  <si>
    <t>Emplois créés en un an T1 2016 - T1 2017</t>
  </si>
  <si>
    <t>17-T4</t>
  </si>
  <si>
    <t>Taux de chômage au 4ème trimestre 2017</t>
  </si>
  <si>
    <t>Evolution départementale du PIB par habitant à prix constant en $ (base 100 en 2010)</t>
  </si>
  <si>
    <t>Données de l'union des aéroports français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</si>
</sst>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 _€_-;\-* #,##0.00\ _€_-;_-* &quot;-&quot;??\ _€_-;_-@_-"/>
    <numFmt numFmtId="164" formatCode="#,##0.0"/>
    <numFmt numFmtId="165" formatCode="0.0"/>
    <numFmt numFmtId="166" formatCode="\+#,##0.0%;\-#,##0.0%"/>
    <numFmt numFmtId="167" formatCode="0.0%"/>
    <numFmt numFmtId="168" formatCode="#,##0\ &quot;€&quot;"/>
    <numFmt numFmtId="169" formatCode="#,##0.0\ &quot;€&quot;;[Red]\-#,##0.0\ &quot;€&quot;"/>
    <numFmt numFmtId="170" formatCode="0.00%;[Red]\-0.00%"/>
    <numFmt numFmtId="171" formatCode="_-* #,##0\ _€_-;\-* #,##0\ _€_-;_-* &quot;-&quot;??\ _€_-;_-@_-"/>
    <numFmt numFmtId="172" formatCode="\+#,##0;[Red]\-#,##0"/>
    <numFmt numFmtId="173" formatCode="&quot; F&quot;#,##0_);\(&quot; F&quot;#,##0\)"/>
    <numFmt numFmtId="174" formatCode="0.0%;[Red]\-0.0%"/>
    <numFmt numFmtId="175" formatCode="0.000"/>
    <numFmt numFmtId="176" formatCode="\+#,##0%;[Red]\-#,##0%"/>
  </numFmts>
  <fonts count="173">
    <font>
      <sz val="11"/>
      <color theme="1"/>
      <name val="Calibri"/>
      <family val="2"/>
      <scheme val="minor"/>
    </font>
    <font>
      <sz val="11"/>
      <color rgb="FFFF0000"/>
      <name val="Calibri"/>
      <family val="2"/>
      <scheme val="minor"/>
    </font>
    <font>
      <b/>
      <sz val="11"/>
      <color theme="1"/>
      <name val="Calibri"/>
      <family val="2"/>
      <scheme val="minor"/>
    </font>
    <font>
      <sz val="16"/>
      <color theme="0" tint="-4.9989318521683403E-2"/>
      <name val="Calibri"/>
      <family val="2"/>
      <scheme val="minor"/>
    </font>
    <font>
      <b/>
      <sz val="13"/>
      <color theme="1"/>
      <name val="Calibri"/>
      <family val="2"/>
      <scheme val="minor"/>
    </font>
    <font>
      <sz val="11"/>
      <name val="Calibri"/>
      <family val="2"/>
      <scheme val="minor"/>
    </font>
    <font>
      <sz val="9"/>
      <color indexed="81"/>
      <name val="Tahoma"/>
      <family val="2"/>
    </font>
    <font>
      <b/>
      <sz val="9"/>
      <color indexed="81"/>
      <name val="Tahoma"/>
      <family val="2"/>
    </font>
    <font>
      <sz val="11"/>
      <color theme="1"/>
      <name val="Calibri"/>
      <family val="2"/>
      <scheme val="minor"/>
    </font>
    <font>
      <sz val="10"/>
      <name val="Arial"/>
      <family val="2"/>
    </font>
    <font>
      <sz val="10"/>
      <color theme="1"/>
      <name val="Arial"/>
      <family val="2"/>
    </font>
    <font>
      <sz val="10"/>
      <color rgb="FFFF0000"/>
      <name val="Arial"/>
      <family val="2"/>
    </font>
    <font>
      <b/>
      <sz val="10"/>
      <color rgb="FFFF0000"/>
      <name val="Arial"/>
      <family val="2"/>
    </font>
    <font>
      <b/>
      <sz val="12"/>
      <name val="Comic Sans MS"/>
      <family val="4"/>
    </font>
    <font>
      <b/>
      <sz val="10"/>
      <name val="Arial Unicode MS"/>
      <family val="2"/>
    </font>
    <font>
      <b/>
      <sz val="10"/>
      <name val="Comic Sans MS"/>
      <family val="4"/>
    </font>
    <font>
      <b/>
      <sz val="10"/>
      <color theme="0"/>
      <name val="Arial"/>
      <family val="2"/>
    </font>
    <font>
      <b/>
      <sz val="11"/>
      <color theme="0"/>
      <name val="Arial"/>
      <family val="2"/>
    </font>
    <font>
      <sz val="10"/>
      <color indexed="8"/>
      <name val="Arial"/>
      <family val="2"/>
    </font>
    <font>
      <sz val="11"/>
      <color indexed="8"/>
      <name val="Calibri"/>
      <family val="2"/>
    </font>
    <font>
      <b/>
      <sz val="12"/>
      <color theme="0"/>
      <name val="Calibri"/>
      <family val="2"/>
      <scheme val="minor"/>
    </font>
    <font>
      <b/>
      <sz val="11"/>
      <color rgb="FFFF0000"/>
      <name val="Calibri"/>
      <family val="2"/>
      <scheme val="minor"/>
    </font>
    <font>
      <sz val="9"/>
      <name val="Arial"/>
      <family val="2"/>
    </font>
    <font>
      <b/>
      <sz val="11"/>
      <color theme="0"/>
      <name val="Calibri"/>
      <family val="2"/>
      <scheme val="minor"/>
    </font>
    <font>
      <b/>
      <sz val="11"/>
      <color theme="0" tint="-0.499984740745262"/>
      <name val="Calibri"/>
      <family val="2"/>
      <scheme val="minor"/>
    </font>
    <font>
      <b/>
      <sz val="8"/>
      <color theme="0"/>
      <name val="Arial"/>
      <family val="2"/>
    </font>
    <font>
      <sz val="10"/>
      <name val="MS Sans Serif"/>
      <family val="2"/>
    </font>
    <font>
      <sz val="11"/>
      <color theme="1"/>
      <name val="Arial"/>
      <family val="2"/>
    </font>
    <font>
      <sz val="10"/>
      <color theme="0"/>
      <name val="Arial"/>
      <family val="2"/>
    </font>
    <font>
      <i/>
      <sz val="10"/>
      <color theme="0" tint="-0.499984740745262"/>
      <name val="Arial"/>
      <family val="2"/>
    </font>
    <font>
      <b/>
      <sz val="10"/>
      <color theme="1"/>
      <name val="Arial"/>
      <family val="2"/>
    </font>
    <font>
      <sz val="10"/>
      <color theme="0" tint="-0.499984740745262"/>
      <name val="Arial"/>
      <family val="2"/>
    </font>
    <font>
      <b/>
      <sz val="8"/>
      <color theme="1"/>
      <name val="Arial"/>
      <family val="2"/>
    </font>
    <font>
      <sz val="8"/>
      <color theme="1"/>
      <name val="Arial"/>
      <family val="2"/>
    </font>
    <font>
      <sz val="8"/>
      <name val="Arial"/>
      <family val="2"/>
    </font>
    <font>
      <sz val="8"/>
      <color theme="1"/>
      <name val="Calibri"/>
      <family val="2"/>
      <scheme val="minor"/>
    </font>
    <font>
      <sz val="8"/>
      <name val="Verdana"/>
      <family val="2"/>
    </font>
    <font>
      <b/>
      <sz val="9"/>
      <color indexed="10"/>
      <name val="Courier New"/>
      <family val="3"/>
    </font>
    <font>
      <b/>
      <sz val="10"/>
      <color rgb="FF0070C0"/>
      <name val="Arial"/>
      <family val="2"/>
    </font>
    <font>
      <sz val="11"/>
      <color theme="0" tint="-0.499984740745262"/>
      <name val="Calibri"/>
      <family val="2"/>
      <scheme val="minor"/>
    </font>
    <font>
      <b/>
      <sz val="11"/>
      <name val="Calibri"/>
      <family val="2"/>
      <scheme val="minor"/>
    </font>
    <font>
      <b/>
      <sz val="12"/>
      <color theme="1"/>
      <name val="Calibri"/>
      <family val="2"/>
      <scheme val="minor"/>
    </font>
    <font>
      <sz val="8"/>
      <color indexed="63"/>
      <name val="Calibri"/>
      <family val="2"/>
    </font>
    <font>
      <sz val="8"/>
      <color rgb="FF7030A0"/>
      <name val="Calibri"/>
      <family val="2"/>
    </font>
    <font>
      <sz val="11"/>
      <color theme="0"/>
      <name val="Calibri"/>
      <family val="2"/>
      <scheme val="minor"/>
    </font>
    <font>
      <i/>
      <sz val="10"/>
      <name val="Arial"/>
      <family val="2"/>
    </font>
    <font>
      <b/>
      <sz val="10"/>
      <name val="Arial"/>
      <family val="2"/>
    </font>
    <font>
      <i/>
      <sz val="11"/>
      <color theme="1"/>
      <name val="Calibri"/>
      <family val="2"/>
      <scheme val="minor"/>
    </font>
    <font>
      <sz val="9"/>
      <color theme="0"/>
      <name val="Avenir LT Std 35 Light"/>
      <family val="2"/>
    </font>
    <font>
      <u/>
      <sz val="11"/>
      <color theme="10"/>
      <name val="Calibri"/>
      <family val="2"/>
      <scheme val="minor"/>
    </font>
    <font>
      <sz val="10"/>
      <color theme="1"/>
      <name val="Avenir LT Std 35 Light"/>
      <family val="2"/>
    </font>
    <font>
      <sz val="10"/>
      <color theme="0" tint="-4.9989318521683403E-2"/>
      <name val="Avenir LT Std 35 Light"/>
      <family val="2"/>
    </font>
    <font>
      <b/>
      <sz val="10"/>
      <color theme="1"/>
      <name val="Avenir LT Std 35 Light"/>
      <family val="2"/>
    </font>
    <font>
      <sz val="10"/>
      <name val="Avenir LT Std 35 Light"/>
      <family val="2"/>
    </font>
    <font>
      <sz val="9"/>
      <color theme="1"/>
      <name val="Avenir LT Std 35 Light"/>
      <family val="2"/>
    </font>
    <font>
      <i/>
      <sz val="8"/>
      <color theme="1"/>
      <name val="Avenir LT Std 35 Light"/>
      <family val="2"/>
    </font>
    <font>
      <b/>
      <sz val="12"/>
      <color theme="1"/>
      <name val="Avenir LT Std 35 Light"/>
      <family val="2"/>
    </font>
    <font>
      <sz val="10"/>
      <color theme="0"/>
      <name val="Avenir LT Std 35 Light"/>
      <family val="2"/>
    </font>
    <font>
      <sz val="8"/>
      <color theme="1"/>
      <name val="Avenir LT Std 35 Light"/>
      <family val="2"/>
    </font>
    <font>
      <b/>
      <sz val="8"/>
      <color theme="1"/>
      <name val="Avenir LT Std 35 Light"/>
      <family val="2"/>
    </font>
    <font>
      <sz val="6"/>
      <name val="Avenir LT Std 35 Light"/>
      <family val="2"/>
    </font>
    <font>
      <sz val="9"/>
      <name val="Avenir LT Std 35 Light"/>
      <family val="2"/>
    </font>
    <font>
      <i/>
      <sz val="11"/>
      <color theme="0" tint="-0.34998626667073579"/>
      <name val="Calibri"/>
      <family val="2"/>
      <scheme val="minor"/>
    </font>
    <font>
      <b/>
      <sz val="9"/>
      <color theme="1"/>
      <name val="Avenir LT Std 35 Light"/>
      <family val="2"/>
    </font>
    <font>
      <sz val="7"/>
      <color theme="1"/>
      <name val="Calibri"/>
      <family val="2"/>
      <scheme val="minor"/>
    </font>
    <font>
      <sz val="11"/>
      <color theme="0" tint="-0.14999847407452621"/>
      <name val="Calibri"/>
      <family val="2"/>
      <scheme val="minor"/>
    </font>
    <font>
      <sz val="11"/>
      <color theme="1"/>
      <name val="Avenir LT Std 35 Light"/>
      <family val="2"/>
    </font>
    <font>
      <sz val="11"/>
      <color rgb="FFC00000"/>
      <name val="Calibri"/>
      <family val="2"/>
      <scheme val="minor"/>
    </font>
    <font>
      <b/>
      <sz val="10"/>
      <color indexed="8"/>
      <name val="Arial"/>
      <family val="2"/>
    </font>
    <font>
      <i/>
      <sz val="10"/>
      <color indexed="8"/>
      <name val="Arial"/>
      <family val="2"/>
    </font>
    <font>
      <b/>
      <i/>
      <sz val="11"/>
      <color theme="1"/>
      <name val="Calibri"/>
      <family val="2"/>
      <scheme val="minor"/>
    </font>
    <font>
      <sz val="11"/>
      <color rgb="FF00B050"/>
      <name val="Calibri"/>
      <family val="2"/>
      <scheme val="minor"/>
    </font>
    <font>
      <sz val="11"/>
      <color theme="4" tint="-0.249977111117893"/>
      <name val="Calibri"/>
      <family val="2"/>
      <scheme val="minor"/>
    </font>
    <font>
      <sz val="11"/>
      <color theme="0"/>
      <name val="Avenir LT Std 35 Light"/>
      <family val="2"/>
    </font>
    <font>
      <sz val="6"/>
      <color theme="0"/>
      <name val="Avenir LT Std 35 Light"/>
      <family val="2"/>
    </font>
    <font>
      <i/>
      <sz val="9"/>
      <color theme="1"/>
      <name val="Avenir LT Std 35 Light"/>
      <family val="2"/>
    </font>
    <font>
      <sz val="10"/>
      <color theme="1"/>
      <name val="Avenir LT Std 65 Medium"/>
      <family val="2"/>
    </font>
    <font>
      <b/>
      <i/>
      <sz val="10"/>
      <color theme="1"/>
      <name val="Avenir LT Std 35 Light"/>
      <family val="2"/>
    </font>
    <font>
      <b/>
      <sz val="11"/>
      <color theme="1" tint="0.499984740745262"/>
      <name val="Arial"/>
      <family val="2"/>
    </font>
    <font>
      <sz val="11"/>
      <color theme="1" tint="0.499984740745262"/>
      <name val="Calibri"/>
      <family val="2"/>
      <scheme val="minor"/>
    </font>
    <font>
      <i/>
      <sz val="10"/>
      <color theme="1" tint="0.499984740745262"/>
      <name val="Arial"/>
      <family val="2"/>
    </font>
    <font>
      <b/>
      <sz val="10"/>
      <color theme="1" tint="0.499984740745262"/>
      <name val="Arial"/>
      <family val="2"/>
    </font>
    <font>
      <sz val="10"/>
      <color theme="1" tint="0.499984740745262"/>
      <name val="Arial"/>
      <family val="2"/>
    </font>
    <font>
      <i/>
      <sz val="10"/>
      <color theme="1"/>
      <name val="Avenir LT Std 35 Light"/>
      <family val="2"/>
    </font>
    <font>
      <b/>
      <sz val="11"/>
      <color theme="1"/>
      <name val="Avenir LT Std 35 Light"/>
      <family val="2"/>
    </font>
    <font>
      <b/>
      <sz val="9"/>
      <color theme="0"/>
      <name val="Avenir LT Std 35 Light"/>
      <family val="2"/>
    </font>
    <font>
      <b/>
      <sz val="9"/>
      <name val="Avenir LT Std 35 Light"/>
      <family val="2"/>
    </font>
    <font>
      <sz val="9"/>
      <color theme="1"/>
      <name val="Calibri"/>
      <family val="2"/>
      <scheme val="minor"/>
    </font>
    <font>
      <sz val="8"/>
      <name val="Avenir LT Std 35 Light"/>
      <family val="2"/>
    </font>
    <font>
      <b/>
      <sz val="11"/>
      <color theme="0"/>
      <name val="Avenir LT Std 35 Light"/>
      <family val="2"/>
    </font>
    <font>
      <b/>
      <i/>
      <sz val="11"/>
      <color theme="0"/>
      <name val="Avenir LT Std 35 Light"/>
      <family val="2"/>
    </font>
    <font>
      <sz val="9"/>
      <color theme="1"/>
      <name val="Sans-serif"/>
    </font>
    <font>
      <b/>
      <i/>
      <sz val="10"/>
      <color theme="0" tint="-0.499984740745262"/>
      <name val="Avenir LT Std 35 Light"/>
      <family val="2"/>
    </font>
    <font>
      <i/>
      <sz val="11"/>
      <color theme="1"/>
      <name val="Avenir LT Std 35 Light"/>
      <family val="2"/>
    </font>
    <font>
      <sz val="9"/>
      <color rgb="FF000000"/>
      <name val="Arial"/>
      <family val="2"/>
    </font>
    <font>
      <u/>
      <sz val="10"/>
      <color theme="1"/>
      <name val="Avenir LT Std 35 Light"/>
      <family val="2"/>
    </font>
    <font>
      <b/>
      <sz val="9"/>
      <color theme="1"/>
      <name val="Calibri"/>
      <family val="2"/>
      <scheme val="minor"/>
    </font>
    <font>
      <b/>
      <sz val="9"/>
      <color rgb="FF000000"/>
      <name val="Arial"/>
      <family val="2"/>
    </font>
    <font>
      <sz val="10"/>
      <color rgb="FFFF0000"/>
      <name val="Avenir LT Std 35 Light"/>
      <family val="2"/>
    </font>
    <font>
      <i/>
      <sz val="10"/>
      <color rgb="FFFF0000"/>
      <name val="Avenir LT Std 35 Light"/>
      <family val="2"/>
    </font>
    <font>
      <sz val="8.5"/>
      <color theme="1"/>
      <name val="Avenir LT Std 35 Light"/>
      <family val="2"/>
    </font>
    <font>
      <b/>
      <sz val="11"/>
      <color rgb="FFFF0000"/>
      <name val="Avenir LT Std 65 Medium"/>
      <family val="2"/>
    </font>
    <font>
      <b/>
      <sz val="16"/>
      <color theme="0" tint="-4.9989318521683403E-2"/>
      <name val="Calibri"/>
      <family val="2"/>
      <scheme val="minor"/>
    </font>
    <font>
      <sz val="9"/>
      <color rgb="FF1BB540"/>
      <name val="Avenir LT Std 35 Light"/>
      <family val="2"/>
    </font>
    <font>
      <b/>
      <sz val="11"/>
      <color rgb="FFFF0000"/>
      <name val="Avenir LT Std 35 Light"/>
      <family val="2"/>
    </font>
    <font>
      <b/>
      <sz val="11"/>
      <color theme="6" tint="-0.249977111117893"/>
      <name val="Avenir LT Std 35 Light"/>
      <family val="2"/>
    </font>
    <font>
      <b/>
      <sz val="11"/>
      <color rgb="FF7030A0"/>
      <name val="Avenir LT Std 35 Light"/>
      <family val="2"/>
    </font>
    <font>
      <b/>
      <sz val="11"/>
      <color theme="8" tint="-0.499984740745262"/>
      <name val="Avenir LT Std 35 Light"/>
      <family val="2"/>
    </font>
    <font>
      <b/>
      <sz val="11"/>
      <color theme="9" tint="-0.249977111117893"/>
      <name val="Avenir LT Std 35 Light"/>
      <family val="2"/>
    </font>
    <font>
      <b/>
      <sz val="11"/>
      <color rgb="FF0070C0"/>
      <name val="Avenir LT Std 35 Light"/>
      <family val="2"/>
    </font>
    <font>
      <b/>
      <sz val="11"/>
      <color rgb="FFC00000"/>
      <name val="Avenir LT Std 35 Light"/>
      <family val="2"/>
    </font>
    <font>
      <b/>
      <sz val="11"/>
      <color rgb="FF92D050"/>
      <name val="Avenir LT Std 35 Light"/>
      <family val="2"/>
    </font>
    <font>
      <b/>
      <sz val="11"/>
      <color theme="7" tint="-0.249977111117893"/>
      <name val="Avenir LT Std 35 Light"/>
      <family val="2"/>
    </font>
    <font>
      <b/>
      <sz val="11"/>
      <color rgb="FF00B0F0"/>
      <name val="Avenir LT Std 35 Light"/>
      <family val="2"/>
    </font>
    <font>
      <b/>
      <sz val="11"/>
      <color rgb="FFFFC000"/>
      <name val="Avenir LT Std 35 Light"/>
      <family val="2"/>
    </font>
    <font>
      <b/>
      <sz val="11"/>
      <color rgb="FFCCCCFF"/>
      <name val="Avenir LT Std 35 Light"/>
      <family val="2"/>
    </font>
    <font>
      <b/>
      <sz val="11"/>
      <color rgb="FFFF99FF"/>
      <name val="Avenir LT Std 35 Light"/>
      <family val="2"/>
    </font>
    <font>
      <sz val="11"/>
      <color theme="0" tint="-0.499984740745262"/>
      <name val="Calibri"/>
      <family val="2"/>
    </font>
    <font>
      <i/>
      <sz val="8"/>
      <name val="Avenir LT Std 35 Light"/>
      <family val="2"/>
    </font>
    <font>
      <sz val="10"/>
      <color rgb="FF000000"/>
      <name val="Avenir LT Std 35 Light"/>
      <family val="2"/>
    </font>
    <font>
      <b/>
      <u/>
      <sz val="10"/>
      <color theme="1"/>
      <name val="Avenir LT Std 35 Light"/>
      <family val="2"/>
    </font>
    <font>
      <b/>
      <sz val="10"/>
      <name val="Avenir LT Std 35 Light"/>
      <family val="2"/>
    </font>
    <font>
      <sz val="10"/>
      <color theme="1"/>
      <name val="Calibri"/>
      <family val="2"/>
      <scheme val="minor"/>
    </font>
    <font>
      <i/>
      <sz val="8"/>
      <color theme="1"/>
      <name val="Calibri"/>
      <family val="2"/>
      <scheme val="minor"/>
    </font>
    <font>
      <b/>
      <sz val="8"/>
      <color indexed="9"/>
      <name val="Arial"/>
      <family val="2"/>
    </font>
    <font>
      <i/>
      <sz val="11"/>
      <color theme="0" tint="-0.499984740745262"/>
      <name val="Calibri"/>
      <family val="2"/>
      <scheme val="minor"/>
    </font>
    <font>
      <sz val="8.5"/>
      <name val="Avenir LT Std 35 Light"/>
      <family val="2"/>
    </font>
    <font>
      <sz val="6"/>
      <color theme="1"/>
      <name val="Calibri"/>
      <family val="2"/>
      <scheme val="minor"/>
    </font>
    <font>
      <b/>
      <sz val="11"/>
      <color theme="1"/>
      <name val="Avenir LT Std 45 Book"/>
      <family val="2"/>
    </font>
    <font>
      <sz val="10"/>
      <color theme="4" tint="-0.249977111117893"/>
      <name val="Arial"/>
      <family val="2"/>
    </font>
    <font>
      <sz val="10"/>
      <color rgb="FF0070C0"/>
      <name val="Arial"/>
      <family val="2"/>
    </font>
    <font>
      <sz val="11"/>
      <color rgb="FFFF0000"/>
      <name val="Avenir LT Std 35 Light"/>
      <family val="2"/>
    </font>
    <font>
      <b/>
      <sz val="11"/>
      <color rgb="FF00B050"/>
      <name val="Calibri"/>
      <family val="2"/>
      <scheme val="minor"/>
    </font>
    <font>
      <sz val="11"/>
      <name val="Avenir LT Std 35 Light"/>
      <family val="2"/>
    </font>
    <font>
      <b/>
      <sz val="12"/>
      <name val="Calibri"/>
      <family val="2"/>
      <scheme val="minor"/>
    </font>
    <font>
      <sz val="9"/>
      <color rgb="FFFF0000"/>
      <name val="Avenir LT Std 35 Light"/>
      <family val="2"/>
    </font>
    <font>
      <sz val="9"/>
      <color indexed="10"/>
      <name val="Tahoma"/>
      <family val="2"/>
    </font>
    <font>
      <sz val="11"/>
      <color theme="0" tint="-0.34998626667073579"/>
      <name val="Calibri"/>
      <family val="2"/>
      <scheme val="minor"/>
    </font>
    <font>
      <b/>
      <sz val="8"/>
      <name val="Arial"/>
      <family val="2"/>
    </font>
    <font>
      <b/>
      <sz val="11"/>
      <color theme="6" tint="-0.249977111117893"/>
      <name val="Calibri"/>
      <family val="2"/>
      <scheme val="minor"/>
    </font>
    <font>
      <i/>
      <sz val="11"/>
      <name val="Calibri"/>
      <family val="2"/>
      <scheme val="minor"/>
    </font>
    <font>
      <sz val="8"/>
      <color rgb="FFFF0000"/>
      <name val="Calibri"/>
      <family val="2"/>
    </font>
    <font>
      <b/>
      <sz val="8"/>
      <color rgb="FFFF0000"/>
      <name val="Arial"/>
      <family val="2"/>
    </font>
    <font>
      <b/>
      <sz val="8"/>
      <color rgb="FFFF0000"/>
      <name val="Calibri"/>
      <family val="2"/>
      <scheme val="minor"/>
    </font>
    <font>
      <sz val="10"/>
      <name val="Calibri"/>
      <family val="2"/>
      <scheme val="minor"/>
    </font>
    <font>
      <sz val="9"/>
      <color theme="0" tint="-0.499984740745262"/>
      <name val="Avenir LT Std 35 Light"/>
      <family val="2"/>
    </font>
    <font>
      <sz val="10"/>
      <color theme="0" tint="-0.499984740745262"/>
      <name val="Avenir LT Std 35 Light"/>
      <family val="2"/>
    </font>
    <font>
      <b/>
      <sz val="11"/>
      <color theme="4"/>
      <name val="Avenir LT Std 35 Light"/>
      <family val="2"/>
    </font>
    <font>
      <sz val="11"/>
      <color indexed="8"/>
      <name val="Calibri"/>
      <family val="2"/>
      <scheme val="minor"/>
    </font>
    <font>
      <sz val="10"/>
      <color theme="1"/>
      <name val="Avenir LT Std 35 Light"/>
      <family val="2"/>
    </font>
    <font>
      <b/>
      <sz val="11"/>
      <name val="Avenir LT Std 35 Light"/>
      <family val="2"/>
    </font>
    <font>
      <sz val="10"/>
      <name val="Comic Sans MS"/>
      <family val="4"/>
    </font>
    <font>
      <u/>
      <sz val="10"/>
      <color indexed="12"/>
      <name val="Comic Sans MS"/>
      <family val="4"/>
    </font>
    <font>
      <i/>
      <sz val="8"/>
      <name val="Arial"/>
      <family val="2"/>
    </font>
    <font>
      <b/>
      <i/>
      <sz val="8"/>
      <color indexed="9"/>
      <name val="Arial"/>
      <family val="2"/>
    </font>
    <font>
      <b/>
      <i/>
      <sz val="10"/>
      <color indexed="32"/>
      <name val="Arial"/>
      <family val="2"/>
    </font>
    <font>
      <sz val="9"/>
      <name val="Avenir LT Std 35 Light"/>
      <family val="2"/>
    </font>
    <font>
      <b/>
      <sz val="9"/>
      <name val="Avenir LT Std 35 Light"/>
      <family val="2"/>
    </font>
    <font>
      <b/>
      <sz val="10"/>
      <name val="Avenir LT Std 35 Light"/>
      <family val="2"/>
    </font>
    <font>
      <u/>
      <sz val="10"/>
      <name val="Avenir LT Std 35 Light"/>
      <family val="2"/>
    </font>
    <font>
      <sz val="10"/>
      <name val="Avenir LT Std 35 Light"/>
      <family val="2"/>
    </font>
    <font>
      <i/>
      <sz val="9"/>
      <color theme="0" tint="-0.499984740745262"/>
      <name val="Avenir LT Std 35 Light"/>
      <family val="2"/>
    </font>
    <font>
      <sz val="8"/>
      <name val="Avenir LT Std 35 Light"/>
      <family val="2"/>
    </font>
    <font>
      <sz val="8"/>
      <color theme="0"/>
      <name val="Avenir LT Std 35 Light"/>
      <family val="2"/>
    </font>
    <font>
      <i/>
      <sz val="9"/>
      <color theme="1" tint="0.499984740745262"/>
      <name val="Avenir LT Std 35 Light"/>
      <family val="2"/>
    </font>
    <font>
      <sz val="9"/>
      <color theme="1"/>
      <name val="Avenir LT Std 35 Light"/>
      <family val="2"/>
    </font>
    <font>
      <vertAlign val="superscript"/>
      <sz val="8"/>
      <name val="Arial"/>
      <family val="2"/>
    </font>
    <font>
      <b/>
      <i/>
      <sz val="8"/>
      <name val="Arial"/>
      <family val="2"/>
    </font>
    <font>
      <sz val="9"/>
      <color rgb="FF333333"/>
      <name val="Arial"/>
      <family val="2"/>
    </font>
    <font>
      <sz val="9"/>
      <color rgb="FF666666"/>
      <name val="Arial"/>
      <family val="2"/>
    </font>
    <font>
      <i/>
      <sz val="9"/>
      <color theme="1"/>
      <name val="Avenir LT Std 45 Book"/>
      <family val="2"/>
    </font>
    <font>
      <vertAlign val="superscript"/>
      <sz val="11"/>
      <color theme="4" tint="0.79998168889431442"/>
      <name val="Calibri"/>
      <family val="2"/>
      <scheme val="minor"/>
    </font>
    <font>
      <vertAlign val="superscript"/>
      <sz val="11"/>
      <color theme="6" tint="0.79995117038483843"/>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7" tint="-0.249977111117893"/>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indexed="41"/>
        <bgColor indexed="64"/>
      </patternFill>
    </fill>
    <fill>
      <patternFill patternType="gray0625">
        <fgColor indexed="43"/>
        <bgColor indexed="43"/>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theme="3" tint="0.39997558519241921"/>
        <bgColor indexed="64"/>
      </patternFill>
    </fill>
    <fill>
      <patternFill patternType="solid">
        <fgColor indexed="22"/>
        <bgColor indexed="0"/>
      </patternFill>
    </fill>
    <fill>
      <patternFill patternType="solid">
        <fgColor theme="2" tint="-0.49998474074526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99FF"/>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rgb="FF0070C0"/>
        <bgColor indexed="64"/>
      </patternFill>
    </fill>
    <fill>
      <patternFill patternType="solid">
        <fgColor rgb="FFC4D8ED"/>
        <bgColor indexed="64"/>
      </patternFill>
    </fill>
    <fill>
      <patternFill patternType="mediumGray">
        <fgColor rgb="FFC0C0C0"/>
        <bgColor rgb="FFFFFFFF"/>
      </patternFill>
    </fill>
    <fill>
      <patternFill patternType="solid">
        <fgColor rgb="FFFFFF99"/>
        <bgColor indexed="64"/>
      </patternFill>
    </fill>
    <fill>
      <patternFill patternType="solid">
        <fgColor theme="4" tint="0.79998168889431442"/>
        <bgColor theme="4" tint="0.79998168889431442"/>
      </patternFill>
    </fill>
    <fill>
      <patternFill patternType="solid">
        <fgColor theme="6" tint="0.39997558519241921"/>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rgb="FFC58199"/>
        <bgColor indexed="64"/>
      </patternFill>
    </fill>
    <fill>
      <patternFill patternType="solid">
        <fgColor indexed="18"/>
        <bgColor indexed="64"/>
      </patternFill>
    </fill>
    <fill>
      <patternFill patternType="solid">
        <fgColor rgb="FFFD9A63"/>
        <bgColor indexed="64"/>
      </patternFill>
    </fill>
    <fill>
      <patternFill patternType="solid">
        <fgColor indexed="9"/>
        <bgColor indexed="64"/>
      </patternFill>
    </fill>
    <fill>
      <patternFill patternType="solid">
        <fgColor theme="6" tint="0.39997558519241921"/>
        <bgColor indexed="0"/>
      </patternFill>
    </fill>
    <fill>
      <patternFill patternType="gray0625">
        <bgColor rgb="FFFFFF99"/>
      </patternFill>
    </fill>
    <fill>
      <patternFill patternType="solid">
        <fgColor rgb="FF0099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indexed="48"/>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39997558519241921"/>
        <bgColor indexed="31"/>
      </patternFill>
    </fill>
    <fill>
      <patternFill patternType="gray0625">
        <fgColor indexed="43"/>
        <bgColor theme="8" tint="0.59999389629810485"/>
      </patternFill>
    </fill>
    <fill>
      <patternFill patternType="solid">
        <fgColor theme="4" tint="0.59999389629810485"/>
        <bgColor indexed="64"/>
      </patternFill>
    </fill>
    <fill>
      <patternFill patternType="solid">
        <fgColor theme="4" tint="0.59999389629810485"/>
        <bgColor indexed="0"/>
      </patternFill>
    </fill>
    <fill>
      <patternFill patternType="solid">
        <fgColor theme="3" tint="0.59999389629810485"/>
        <bgColor indexed="64"/>
      </patternFill>
    </fill>
    <fill>
      <patternFill patternType="solid">
        <fgColor theme="3" tint="0.79998168889431442"/>
        <bgColor indexed="64"/>
      </patternFill>
    </fill>
    <fill>
      <patternFill patternType="solid">
        <fgColor rgb="FF776DB0"/>
        <bgColor indexed="64"/>
      </patternFill>
    </fill>
    <fill>
      <patternFill patternType="solid">
        <fgColor rgb="FFBDBDE0"/>
        <bgColor indexed="64"/>
      </patternFill>
    </fill>
  </fills>
  <borders count="9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8"/>
      </left>
      <right style="thin">
        <color indexed="8"/>
      </right>
      <top/>
      <bottom/>
      <diagonal/>
    </border>
    <border>
      <left style="thin">
        <color rgb="FFC0C0C0"/>
      </left>
      <right style="thin">
        <color rgb="FFC0C0C0"/>
      </right>
      <top style="thin">
        <color rgb="FFC0C0C0"/>
      </top>
      <bottom style="thin">
        <color rgb="FFC0C0C0"/>
      </bottom>
      <diagonal/>
    </border>
    <border>
      <left/>
      <right/>
      <top/>
      <bottom style="thin">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bottom style="hair">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double">
        <color theme="0" tint="-0.499984740745262"/>
      </left>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style="thin">
        <color theme="0" tint="-0.24994659260841701"/>
      </left>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double">
        <color theme="0" tint="-0.24994659260841701"/>
      </left>
      <right/>
      <top style="thin">
        <color theme="0" tint="-0.24994659260841701"/>
      </top>
      <bottom style="thin">
        <color theme="0" tint="-0.24994659260841701"/>
      </bottom>
      <diagonal/>
    </border>
    <border>
      <left/>
      <right style="thin">
        <color theme="0" tint="-0.24994659260841701"/>
      </right>
      <top/>
      <bottom/>
      <diagonal/>
    </border>
    <border>
      <left style="thin">
        <color theme="0" tint="-0.24994659260841701"/>
      </left>
      <right/>
      <top/>
      <bottom style="double">
        <color theme="0" tint="-0.24994659260841701"/>
      </bottom>
      <diagonal/>
    </border>
    <border>
      <left/>
      <right/>
      <top/>
      <bottom style="double">
        <color theme="0" tint="-0.24994659260841701"/>
      </bottom>
      <diagonal/>
    </border>
    <border>
      <left/>
      <right style="thin">
        <color theme="0" tint="-0.24994659260841701"/>
      </right>
      <top/>
      <bottom style="double">
        <color theme="0" tint="-0.24994659260841701"/>
      </bottom>
      <diagonal/>
    </border>
    <border>
      <left style="thin">
        <color theme="0" tint="-0.24994659260841701"/>
      </left>
      <right/>
      <top style="thin">
        <color theme="0" tint="-0.24994659260841701"/>
      </top>
      <bottom style="double">
        <color theme="0" tint="-0.24994659260841701"/>
      </bottom>
      <diagonal/>
    </border>
    <border>
      <left/>
      <right style="thin">
        <color theme="0" tint="-0.24994659260841701"/>
      </right>
      <top style="thin">
        <color theme="0" tint="-0.24994659260841701"/>
      </top>
      <bottom style="double">
        <color theme="0" tint="-0.24994659260841701"/>
      </bottom>
      <diagonal/>
    </border>
    <border>
      <left/>
      <right/>
      <top style="thin">
        <color theme="0" tint="-0.24994659260841701"/>
      </top>
      <bottom style="double">
        <color theme="0" tint="-0.24994659260841701"/>
      </bottom>
      <diagonal/>
    </border>
    <border>
      <left/>
      <right style="thin">
        <color theme="0" tint="-0.24994659260841701"/>
      </right>
      <top/>
      <bottom style="hair">
        <color theme="0" tint="-0.24994659260841701"/>
      </bottom>
      <diagonal/>
    </border>
    <border>
      <left style="double">
        <color rgb="FFFFC000"/>
      </left>
      <right/>
      <top style="double">
        <color rgb="FFFFC000"/>
      </top>
      <bottom style="double">
        <color rgb="FFFFC000"/>
      </bottom>
      <diagonal/>
    </border>
    <border>
      <left/>
      <right/>
      <top style="double">
        <color rgb="FFFFC000"/>
      </top>
      <bottom style="double">
        <color rgb="FFFFC000"/>
      </bottom>
      <diagonal/>
    </border>
    <border>
      <left/>
      <right style="double">
        <color rgb="FFFFC000"/>
      </right>
      <top style="double">
        <color rgb="FFFFC000"/>
      </top>
      <bottom style="double">
        <color rgb="FFFFC000"/>
      </bottom>
      <diagonal/>
    </border>
    <border>
      <left/>
      <right style="thin">
        <color theme="0" tint="-0.24994659260841701"/>
      </right>
      <top style="hair">
        <color theme="0" tint="-0.24994659260841701"/>
      </top>
      <bottom style="hair">
        <color theme="0" tint="-0.24994659260841701"/>
      </bottom>
      <diagonal/>
    </border>
    <border>
      <left/>
      <right/>
      <top style="double">
        <color rgb="FFFFC000"/>
      </top>
      <bottom/>
      <diagonal/>
    </border>
    <border>
      <left/>
      <right style="double">
        <color rgb="FFFFC000"/>
      </right>
      <top style="double">
        <color rgb="FFFFC000"/>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style="double">
        <color theme="0" tint="-0.24994659260841701"/>
      </right>
      <top/>
      <bottom style="thin">
        <color theme="0" tint="-0.24994659260841701"/>
      </bottom>
      <diagonal/>
    </border>
    <border>
      <left style="double">
        <color rgb="FFF4B23A"/>
      </left>
      <right/>
      <top style="double">
        <color rgb="FFF4B23A"/>
      </top>
      <bottom style="double">
        <color rgb="FFF4B23A"/>
      </bottom>
      <diagonal/>
    </border>
    <border>
      <left/>
      <right/>
      <top style="double">
        <color rgb="FFF4B23A"/>
      </top>
      <bottom style="double">
        <color rgb="FFF4B23A"/>
      </bottom>
      <diagonal/>
    </border>
    <border>
      <left/>
      <right style="double">
        <color rgb="FFF4B23A"/>
      </right>
      <top style="double">
        <color rgb="FFF4B23A"/>
      </top>
      <bottom style="double">
        <color rgb="FFF4B23A"/>
      </bottom>
      <diagonal/>
    </border>
    <border>
      <left style="thin">
        <color indexed="9"/>
      </left>
      <right style="thin">
        <color indexed="9"/>
      </right>
      <top/>
      <bottom/>
      <diagonal/>
    </border>
    <border>
      <left/>
      <right style="double">
        <color theme="0" tint="-0.24994659260841701"/>
      </right>
      <top style="thin">
        <color theme="0" tint="-0.24994659260841701"/>
      </top>
      <bottom/>
      <diagonal/>
    </border>
    <border>
      <left/>
      <right style="double">
        <color theme="0" tint="-0.24994659260841701"/>
      </right>
      <top/>
      <bottom/>
      <diagonal/>
    </border>
    <border>
      <left style="double">
        <color theme="0" tint="-0.24994659260841701"/>
      </left>
      <right/>
      <top style="thin">
        <color theme="0" tint="-0.24994659260841701"/>
      </top>
      <bottom/>
      <diagonal/>
    </border>
    <border>
      <left style="double">
        <color theme="0" tint="-0.24994659260841701"/>
      </left>
      <right/>
      <top/>
      <bottom style="thin">
        <color theme="0" tint="-0.24994659260841701"/>
      </bottom>
      <diagonal/>
    </border>
    <border>
      <left style="double">
        <color rgb="FFFFC000"/>
      </left>
      <right/>
      <top style="thin">
        <color theme="0" tint="-0.24994659260841701"/>
      </top>
      <bottom style="thin">
        <color theme="0" tint="-0.24994659260841701"/>
      </bottom>
      <diagonal/>
    </border>
    <border>
      <left style="thin">
        <color theme="0" tint="-0.24994659260841701"/>
      </left>
      <right/>
      <top style="double">
        <color rgb="FFFFC000"/>
      </top>
      <bottom style="thin">
        <color theme="0" tint="-0.24994659260841701"/>
      </bottom>
      <diagonal/>
    </border>
    <border>
      <left/>
      <right/>
      <top style="double">
        <color rgb="FFFFC000"/>
      </top>
      <bottom style="thin">
        <color theme="0" tint="-0.24994659260841701"/>
      </bottom>
      <diagonal/>
    </border>
    <border>
      <left/>
      <right style="thin">
        <color theme="0" tint="-0.24994659260841701"/>
      </right>
      <top style="double">
        <color rgb="FFFFC000"/>
      </top>
      <bottom style="thin">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s>
  <cellStyleXfs count="32">
    <xf numFmtId="0" fontId="0" fillId="0" borderId="0"/>
    <xf numFmtId="9" fontId="8" fillId="0" borderId="0" applyFont="0" applyFill="0" applyBorder="0" applyAlignment="0" applyProtection="0"/>
    <xf numFmtId="0" fontId="18" fillId="0" borderId="0"/>
    <xf numFmtId="0" fontId="18" fillId="0" borderId="0"/>
    <xf numFmtId="0" fontId="9" fillId="0" borderId="0"/>
    <xf numFmtId="0" fontId="18" fillId="0" borderId="0"/>
    <xf numFmtId="0" fontId="9" fillId="0" borderId="0"/>
    <xf numFmtId="0" fontId="26" fillId="0" borderId="0"/>
    <xf numFmtId="0" fontId="9" fillId="0" borderId="0"/>
    <xf numFmtId="0" fontId="18" fillId="0" borderId="0"/>
    <xf numFmtId="0" fontId="18" fillId="0" borderId="0"/>
    <xf numFmtId="43" fontId="8" fillId="0" borderId="0" applyFont="0" applyFill="0" applyBorder="0" applyAlignment="0" applyProtection="0"/>
    <xf numFmtId="0" fontId="49" fillId="0" borderId="0" applyNumberFormat="0" applyFill="0" applyBorder="0" applyAlignment="0" applyProtection="0"/>
    <xf numFmtId="0" fontId="18" fillId="0" borderId="0"/>
    <xf numFmtId="0" fontId="18" fillId="0" borderId="0"/>
    <xf numFmtId="0" fontId="124" fillId="37" borderId="9"/>
    <xf numFmtId="0" fontId="9" fillId="0" borderId="0"/>
    <xf numFmtId="0" fontId="9" fillId="0" borderId="0"/>
    <xf numFmtId="0" fontId="138" fillId="0" borderId="0" applyNumberFormat="0" applyFill="0" applyBorder="0" applyAlignment="0" applyProtection="0"/>
    <xf numFmtId="0" fontId="138" fillId="0" borderId="0" applyNumberFormat="0" applyFill="0" applyBorder="0" applyAlignment="0" applyProtection="0">
      <alignment vertical="top"/>
      <protection locked="0"/>
    </xf>
    <xf numFmtId="0" fontId="151" fillId="0" borderId="0"/>
    <xf numFmtId="0" fontId="124" fillId="37" borderId="9">
      <alignment horizontal="center"/>
    </xf>
    <xf numFmtId="4" fontId="34" fillId="0" borderId="9"/>
    <xf numFmtId="0" fontId="153" fillId="0" borderId="9">
      <alignment horizontal="center"/>
    </xf>
    <xf numFmtId="0" fontId="154" fillId="45" borderId="9">
      <alignment horizontal="center"/>
    </xf>
    <xf numFmtId="0" fontId="155" fillId="0" borderId="0"/>
    <xf numFmtId="0" fontId="152" fillId="0" borderId="0" applyNumberFormat="0" applyFill="0" applyBorder="0" applyAlignment="0" applyProtection="0">
      <alignment vertical="top"/>
      <protection locked="0"/>
    </xf>
    <xf numFmtId="0" fontId="151" fillId="0" borderId="0"/>
    <xf numFmtId="0" fontId="9" fillId="0" borderId="0"/>
    <xf numFmtId="9" fontId="151" fillId="0" borderId="0" applyFont="0" applyFill="0" applyBorder="0" applyAlignment="0" applyProtection="0"/>
    <xf numFmtId="9" fontId="9" fillId="0" borderId="0" applyFont="0" applyFill="0" applyBorder="0" applyAlignment="0" applyProtection="0"/>
    <xf numFmtId="0" fontId="9" fillId="0" borderId="0"/>
  </cellStyleXfs>
  <cellXfs count="1440">
    <xf numFmtId="0" fontId="0" fillId="0" borderId="0" xfId="0"/>
    <xf numFmtId="0" fontId="0" fillId="2" borderId="0" xfId="0" applyFill="1"/>
    <xf numFmtId="0" fontId="3" fillId="2" borderId="0" xfId="0" applyFont="1" applyFill="1" applyAlignment="1">
      <alignment vertical="center"/>
    </xf>
    <xf numFmtId="0" fontId="3" fillId="2" borderId="0" xfId="0" applyFont="1" applyFill="1" applyAlignment="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0" borderId="0" xfId="0" applyFont="1" applyFill="1" applyBorder="1" applyAlignment="1">
      <alignment horizontal="right" vertical="center" wrapText="1"/>
    </xf>
    <xf numFmtId="0" fontId="3" fillId="0" borderId="0" xfId="0" applyFont="1" applyFill="1" applyBorder="1" applyAlignment="1">
      <alignment horizontal="right" vertical="center"/>
    </xf>
    <xf numFmtId="0" fontId="3" fillId="2" borderId="0" xfId="0" applyFont="1" applyFill="1" applyBorder="1" applyAlignment="1">
      <alignment horizontal="center" vertical="center"/>
    </xf>
    <xf numFmtId="0" fontId="0" fillId="0" borderId="0" xfId="0" applyBorder="1"/>
    <xf numFmtId="3" fontId="5" fillId="0" borderId="0" xfId="0" applyNumberFormat="1" applyFont="1"/>
    <xf numFmtId="3" fontId="5" fillId="0" borderId="0" xfId="0" applyNumberFormat="1" applyFont="1" applyAlignment="1">
      <alignment wrapText="1"/>
    </xf>
    <xf numFmtId="3" fontId="5" fillId="0" borderId="0" xfId="0" quotePrefix="1" applyNumberFormat="1" applyFont="1"/>
    <xf numFmtId="3" fontId="1" fillId="0" borderId="0" xfId="0" applyNumberFormat="1" applyFont="1"/>
    <xf numFmtId="3" fontId="0" fillId="0" borderId="0" xfId="0" applyNumberFormat="1" applyAlignment="1">
      <alignment wrapText="1"/>
    </xf>
    <xf numFmtId="0" fontId="0" fillId="7" borderId="0" xfId="0" applyFill="1" applyAlignment="1">
      <alignment wrapText="1"/>
    </xf>
    <xf numFmtId="3" fontId="0" fillId="0" borderId="0" xfId="0" applyNumberFormat="1"/>
    <xf numFmtId="0" fontId="9" fillId="0" borderId="0" xfId="0" applyNumberFormat="1" applyFont="1" applyBorder="1" applyAlignment="1">
      <alignment horizontal="center" vertical="center" wrapText="1"/>
    </xf>
    <xf numFmtId="0" fontId="9" fillId="0" borderId="0" xfId="0" applyFont="1"/>
    <xf numFmtId="0" fontId="9" fillId="0" borderId="0" xfId="0" applyFont="1" applyBorder="1"/>
    <xf numFmtId="0" fontId="9" fillId="0" borderId="0" xfId="0" applyFont="1" applyFill="1" applyBorder="1"/>
    <xf numFmtId="2" fontId="0" fillId="0" borderId="0" xfId="0" applyNumberFormat="1"/>
    <xf numFmtId="3" fontId="9" fillId="0" borderId="0" xfId="0" applyNumberFormat="1" applyFont="1"/>
    <xf numFmtId="3" fontId="10" fillId="0" borderId="0" xfId="0" applyNumberFormat="1" applyFont="1"/>
    <xf numFmtId="3" fontId="9" fillId="0" borderId="0" xfId="0" applyNumberFormat="1" applyFont="1" applyAlignment="1">
      <alignment wrapText="1"/>
    </xf>
    <xf numFmtId="3" fontId="10" fillId="0" borderId="0" xfId="0" applyNumberFormat="1" applyFont="1" applyAlignment="1">
      <alignment wrapText="1"/>
    </xf>
    <xf numFmtId="164" fontId="10" fillId="0" borderId="0" xfId="0" applyNumberFormat="1" applyFont="1"/>
    <xf numFmtId="3" fontId="9" fillId="0" borderId="0" xfId="0" quotePrefix="1" applyNumberFormat="1" applyFont="1"/>
    <xf numFmtId="3" fontId="11" fillId="0" borderId="0" xfId="0" applyNumberFormat="1" applyFont="1"/>
    <xf numFmtId="165" fontId="10" fillId="0" borderId="0" xfId="0" applyNumberFormat="1" applyFont="1"/>
    <xf numFmtId="0" fontId="12" fillId="0" borderId="0" xfId="0" applyFont="1"/>
    <xf numFmtId="0" fontId="9" fillId="0" borderId="0" xfId="0" applyFont="1" applyAlignment="1">
      <alignment wrapText="1"/>
    </xf>
    <xf numFmtId="0" fontId="13" fillId="0" borderId="0" xfId="0" applyFont="1"/>
    <xf numFmtId="0" fontId="0" fillId="8" borderId="0" xfId="0" applyFill="1" applyAlignment="1">
      <alignment horizontal="center"/>
    </xf>
    <xf numFmtId="0" fontId="15" fillId="9" borderId="9" xfId="0" applyFont="1" applyFill="1" applyBorder="1"/>
    <xf numFmtId="166" fontId="15" fillId="9" borderId="9" xfId="1" applyNumberFormat="1" applyFont="1" applyFill="1" applyBorder="1" applyAlignment="1">
      <alignment horizontal="right"/>
    </xf>
    <xf numFmtId="10" fontId="0" fillId="0" borderId="0" xfId="1" applyNumberFormat="1" applyFont="1"/>
    <xf numFmtId="0" fontId="0" fillId="10" borderId="0" xfId="0" applyFill="1"/>
    <xf numFmtId="0" fontId="9" fillId="10" borderId="0" xfId="0" applyFont="1" applyFill="1" applyBorder="1"/>
    <xf numFmtId="3" fontId="9" fillId="12" borderId="0" xfId="0" applyNumberFormat="1" applyFont="1" applyFill="1"/>
    <xf numFmtId="3" fontId="10" fillId="12" borderId="0" xfId="0" applyNumberFormat="1" applyFont="1" applyFill="1"/>
    <xf numFmtId="3" fontId="16" fillId="12" borderId="0" xfId="0" applyNumberFormat="1" applyFont="1" applyFill="1"/>
    <xf numFmtId="3" fontId="11" fillId="3" borderId="0" xfId="0" applyNumberFormat="1" applyFont="1" applyFill="1"/>
    <xf numFmtId="3" fontId="10" fillId="3" borderId="0" xfId="0" applyNumberFormat="1" applyFont="1" applyFill="1"/>
    <xf numFmtId="164" fontId="10" fillId="3" borderId="0" xfId="0" applyNumberFormat="1" applyFont="1" applyFill="1"/>
    <xf numFmtId="3" fontId="17" fillId="3" borderId="0" xfId="0" applyNumberFormat="1" applyFont="1" applyFill="1"/>
    <xf numFmtId="3" fontId="9" fillId="13" borderId="0" xfId="0" applyNumberFormat="1" applyFont="1" applyFill="1"/>
    <xf numFmtId="3" fontId="10" fillId="13" borderId="0" xfId="0" applyNumberFormat="1" applyFont="1" applyFill="1"/>
    <xf numFmtId="3" fontId="17" fillId="13" borderId="0" xfId="0" applyNumberFormat="1" applyFont="1" applyFill="1"/>
    <xf numFmtId="3" fontId="19" fillId="0" borderId="11" xfId="2" applyNumberFormat="1" applyFont="1" applyFill="1" applyBorder="1" applyAlignment="1"/>
    <xf numFmtId="9" fontId="10" fillId="0" borderId="0" xfId="1" applyFont="1"/>
    <xf numFmtId="3" fontId="9" fillId="15" borderId="0" xfId="0" applyNumberFormat="1" applyFont="1" applyFill="1"/>
    <xf numFmtId="3" fontId="10" fillId="15" borderId="0" xfId="0" applyNumberFormat="1" applyFont="1" applyFill="1"/>
    <xf numFmtId="3" fontId="17" fillId="15" borderId="0" xfId="0" applyNumberFormat="1" applyFont="1" applyFill="1"/>
    <xf numFmtId="0" fontId="20" fillId="10" borderId="0" xfId="0" applyFont="1" applyFill="1"/>
    <xf numFmtId="0" fontId="0" fillId="0" borderId="0" xfId="0" applyAlignment="1">
      <alignment wrapText="1"/>
    </xf>
    <xf numFmtId="0" fontId="0" fillId="0" borderId="0" xfId="0" quotePrefix="1"/>
    <xf numFmtId="9" fontId="0" fillId="0" borderId="0" xfId="1" applyFont="1"/>
    <xf numFmtId="0" fontId="21" fillId="0" borderId="0" xfId="0" applyFont="1"/>
    <xf numFmtId="0" fontId="12" fillId="0" borderId="0" xfId="4" applyFont="1"/>
    <xf numFmtId="165" fontId="12" fillId="0" borderId="0" xfId="4" applyNumberFormat="1" applyFont="1"/>
    <xf numFmtId="0" fontId="20" fillId="11" borderId="0" xfId="0" applyFont="1" applyFill="1"/>
    <xf numFmtId="0" fontId="19" fillId="14" borderId="0" xfId="3" applyFont="1" applyFill="1" applyBorder="1" applyAlignment="1">
      <alignment horizontal="center" wrapText="1"/>
    </xf>
    <xf numFmtId="3" fontId="19" fillId="14" borderId="0" xfId="3" applyNumberFormat="1" applyFont="1" applyFill="1" applyBorder="1" applyAlignment="1">
      <alignment horizontal="center" wrapText="1"/>
    </xf>
    <xf numFmtId="3" fontId="19" fillId="0" borderId="12" xfId="2" applyNumberFormat="1" applyFont="1" applyFill="1" applyBorder="1" applyAlignment="1"/>
    <xf numFmtId="3" fontId="19" fillId="14" borderId="0" xfId="2" applyNumberFormat="1" applyFont="1" applyFill="1" applyBorder="1" applyAlignment="1">
      <alignment horizontal="center" wrapText="1"/>
    </xf>
    <xf numFmtId="0" fontId="19" fillId="0" borderId="0" xfId="5" applyFont="1" applyFill="1" applyBorder="1" applyAlignment="1">
      <alignment horizontal="center" wrapText="1"/>
    </xf>
    <xf numFmtId="0" fontId="0" fillId="0" borderId="0" xfId="0" applyFill="1" applyBorder="1" applyAlignment="1">
      <alignment wrapText="1"/>
    </xf>
    <xf numFmtId="0" fontId="19" fillId="16" borderId="0" xfId="5" applyFont="1" applyFill="1" applyBorder="1" applyAlignment="1">
      <alignment horizontal="center" wrapText="1"/>
    </xf>
    <xf numFmtId="0" fontId="19" fillId="0" borderId="0" xfId="5" applyFont="1" applyFill="1" applyBorder="1" applyAlignment="1">
      <alignment wrapText="1"/>
    </xf>
    <xf numFmtId="0" fontId="0" fillId="5" borderId="0" xfId="0" applyFill="1" applyBorder="1" applyAlignment="1">
      <alignment wrapText="1"/>
    </xf>
    <xf numFmtId="0" fontId="19" fillId="0" borderId="0" xfId="5" quotePrefix="1" applyFont="1" applyFill="1" applyBorder="1" applyAlignment="1"/>
    <xf numFmtId="0" fontId="19" fillId="0" borderId="0" xfId="5" applyFont="1" applyFill="1" applyBorder="1" applyAlignment="1">
      <alignment horizontal="left"/>
    </xf>
    <xf numFmtId="0" fontId="19" fillId="16" borderId="0" xfId="5" applyFont="1" applyFill="1" applyBorder="1" applyAlignment="1">
      <alignment horizontal="right"/>
    </xf>
    <xf numFmtId="0" fontId="0" fillId="5" borderId="0" xfId="0" applyFill="1" applyBorder="1"/>
    <xf numFmtId="0" fontId="19" fillId="0" borderId="0" xfId="5" applyFont="1" applyFill="1" applyBorder="1" applyAlignment="1"/>
    <xf numFmtId="0" fontId="19" fillId="5" borderId="0" xfId="5" applyFont="1" applyFill="1" applyBorder="1" applyAlignment="1">
      <alignment horizontal="right" wrapText="1"/>
    </xf>
    <xf numFmtId="0" fontId="0" fillId="0" borderId="0" xfId="0" applyFill="1" applyBorder="1"/>
    <xf numFmtId="0" fontId="22" fillId="0" borderId="0" xfId="0" applyFont="1" applyAlignment="1">
      <alignment horizontal="left" vertical="top" wrapText="1"/>
    </xf>
    <xf numFmtId="0" fontId="0" fillId="0" borderId="0" xfId="0" applyAlignment="1">
      <alignment horizontal="left"/>
    </xf>
    <xf numFmtId="0" fontId="0" fillId="0" borderId="0" xfId="0" applyBorder="1" applyAlignment="1">
      <alignment wrapText="1"/>
    </xf>
    <xf numFmtId="0" fontId="0" fillId="17" borderId="0" xfId="0" applyFill="1" applyBorder="1"/>
    <xf numFmtId="0" fontId="2" fillId="0" borderId="0" xfId="0" applyFont="1" applyBorder="1"/>
    <xf numFmtId="0" fontId="24" fillId="17" borderId="0" xfId="0" applyFont="1" applyFill="1" applyBorder="1"/>
    <xf numFmtId="0" fontId="24" fillId="18" borderId="0" xfId="0" applyFont="1" applyFill="1" applyBorder="1"/>
    <xf numFmtId="0" fontId="24" fillId="18" borderId="0" xfId="0" applyFont="1" applyFill="1"/>
    <xf numFmtId="0" fontId="23" fillId="19" borderId="0" xfId="0" applyFont="1" applyFill="1" applyBorder="1"/>
    <xf numFmtId="0" fontId="0" fillId="0" borderId="0" xfId="0" quotePrefix="1" applyBorder="1"/>
    <xf numFmtId="0" fontId="16" fillId="20" borderId="0" xfId="6" applyFont="1" applyFill="1" applyBorder="1" applyAlignment="1">
      <alignment vertical="top"/>
    </xf>
    <xf numFmtId="0" fontId="28" fillId="20" borderId="0" xfId="0" applyFont="1" applyFill="1"/>
    <xf numFmtId="0" fontId="16" fillId="0" borderId="0" xfId="6" applyFont="1" applyFill="1" applyBorder="1" applyAlignment="1">
      <alignment vertical="top"/>
    </xf>
    <xf numFmtId="0" fontId="28" fillId="0" borderId="0" xfId="0" applyFont="1" applyFill="1"/>
    <xf numFmtId="0" fontId="10" fillId="0" borderId="0" xfId="0" applyFont="1"/>
    <xf numFmtId="0" fontId="10" fillId="0" borderId="0" xfId="0" applyFont="1" applyAlignment="1">
      <alignment wrapText="1"/>
    </xf>
    <xf numFmtId="0" fontId="29" fillId="0" borderId="0" xfId="0" applyFont="1"/>
    <xf numFmtId="3" fontId="29" fillId="0" borderId="0" xfId="0" applyNumberFormat="1" applyFont="1"/>
    <xf numFmtId="0" fontId="27" fillId="21" borderId="0" xfId="0" applyFont="1" applyFill="1"/>
    <xf numFmtId="0" fontId="17" fillId="21" borderId="0" xfId="0" applyFont="1" applyFill="1" applyAlignment="1">
      <alignment vertical="center"/>
    </xf>
    <xf numFmtId="0" fontId="27" fillId="0" borderId="0" xfId="0" applyFont="1" applyFill="1"/>
    <xf numFmtId="0" fontId="27" fillId="0" borderId="0" xfId="0" applyFont="1" applyFill="1" applyBorder="1"/>
    <xf numFmtId="0" fontId="27" fillId="0" borderId="0" xfId="0" applyFont="1" applyFill="1" applyBorder="1" applyAlignment="1">
      <alignment vertical="center"/>
    </xf>
    <xf numFmtId="0" fontId="29" fillId="0" borderId="0" xfId="0" applyFont="1" applyBorder="1" applyAlignment="1">
      <alignment horizontal="right" vertical="top"/>
    </xf>
    <xf numFmtId="0" fontId="31" fillId="0" borderId="0" xfId="0" applyFont="1" applyBorder="1"/>
    <xf numFmtId="0" fontId="31" fillId="0" borderId="0" xfId="4" applyFont="1" applyBorder="1" applyAlignment="1">
      <alignment horizontal="right"/>
    </xf>
    <xf numFmtId="0" fontId="31" fillId="0" borderId="0" xfId="7" applyFont="1" applyBorder="1" applyAlignment="1">
      <alignment horizontal="center" wrapText="1"/>
    </xf>
    <xf numFmtId="0" fontId="31" fillId="0" borderId="0" xfId="4" applyFont="1" applyBorder="1"/>
    <xf numFmtId="0" fontId="31" fillId="0" borderId="0" xfId="8" applyFont="1" applyFill="1" applyBorder="1"/>
    <xf numFmtId="3" fontId="31" fillId="0" borderId="0" xfId="0" applyNumberFormat="1" applyFont="1" applyBorder="1"/>
    <xf numFmtId="3" fontId="31" fillId="0" borderId="0" xfId="4" applyNumberFormat="1" applyFont="1" applyBorder="1"/>
    <xf numFmtId="3" fontId="33" fillId="0" borderId="0" xfId="0" applyNumberFormat="1" applyFont="1"/>
    <xf numFmtId="0" fontId="30" fillId="0" borderId="0" xfId="0" applyFont="1"/>
    <xf numFmtId="0" fontId="10" fillId="10" borderId="0" xfId="0" applyFont="1" applyFill="1"/>
    <xf numFmtId="0" fontId="16" fillId="10" borderId="0" xfId="0" applyFont="1" applyFill="1"/>
    <xf numFmtId="0" fontId="34" fillId="0" borderId="0" xfId="0" applyFont="1" applyAlignment="1">
      <alignment horizontal="center"/>
    </xf>
    <xf numFmtId="0" fontId="34" fillId="0" borderId="0" xfId="0" applyFont="1"/>
    <xf numFmtId="167" fontId="34" fillId="0" borderId="0" xfId="1" applyNumberFormat="1" applyFont="1"/>
    <xf numFmtId="3" fontId="35" fillId="0" borderId="0" xfId="0" applyNumberFormat="1" applyFont="1"/>
    <xf numFmtId="3" fontId="25" fillId="10" borderId="0" xfId="0" applyNumberFormat="1" applyFont="1" applyFill="1"/>
    <xf numFmtId="3" fontId="33" fillId="10" borderId="0" xfId="0" applyNumberFormat="1" applyFont="1" applyFill="1"/>
    <xf numFmtId="3" fontId="32" fillId="0" borderId="0" xfId="0" applyNumberFormat="1" applyFont="1"/>
    <xf numFmtId="0" fontId="35" fillId="0" borderId="0" xfId="0" applyFont="1"/>
    <xf numFmtId="0" fontId="35" fillId="0" borderId="0" xfId="0" applyFont="1" applyAlignment="1">
      <alignment horizontal="center"/>
    </xf>
    <xf numFmtId="16" fontId="35" fillId="0" borderId="0" xfId="0" quotePrefix="1" applyNumberFormat="1" applyFont="1" applyAlignment="1">
      <alignment horizontal="center"/>
    </xf>
    <xf numFmtId="0" fontId="19" fillId="0" borderId="0" xfId="9" applyFont="1" applyFill="1" applyBorder="1" applyAlignment="1">
      <alignment wrapText="1"/>
    </xf>
    <xf numFmtId="0" fontId="0" fillId="0" borderId="0" xfId="0" applyAlignment="1"/>
    <xf numFmtId="0" fontId="0" fillId="23" borderId="0" xfId="0" applyFill="1"/>
    <xf numFmtId="0" fontId="23" fillId="23" borderId="0" xfId="0" applyFont="1" applyFill="1"/>
    <xf numFmtId="0" fontId="10" fillId="25" borderId="0" xfId="0" applyFont="1" applyFill="1"/>
    <xf numFmtId="0" fontId="16" fillId="25" borderId="0" xfId="0" applyFont="1" applyFill="1"/>
    <xf numFmtId="9" fontId="0" fillId="0" borderId="0" xfId="1" applyFont="1" applyBorder="1"/>
    <xf numFmtId="0" fontId="19" fillId="0" borderId="0" xfId="9" applyFont="1" applyFill="1" applyBorder="1" applyAlignment="1"/>
    <xf numFmtId="0" fontId="0" fillId="0" borderId="0" xfId="0" applyBorder="1" applyAlignment="1"/>
    <xf numFmtId="0" fontId="23" fillId="23" borderId="0" xfId="0" applyFont="1" applyFill="1" applyBorder="1"/>
    <xf numFmtId="0" fontId="0" fillId="23" borderId="0" xfId="0" applyFill="1" applyBorder="1"/>
    <xf numFmtId="0" fontId="19" fillId="14" borderId="0" xfId="10" applyFont="1" applyFill="1" applyBorder="1" applyAlignment="1">
      <alignment horizontal="center"/>
    </xf>
    <xf numFmtId="0" fontId="0" fillId="22" borderId="0" xfId="0" applyFill="1" applyBorder="1" applyAlignment="1">
      <alignment wrapText="1"/>
    </xf>
    <xf numFmtId="0" fontId="19" fillId="0" borderId="0" xfId="10" applyFont="1" applyFill="1" applyBorder="1" applyAlignment="1">
      <alignment wrapText="1"/>
    </xf>
    <xf numFmtId="0" fontId="19" fillId="0" borderId="0" xfId="10" applyFont="1" applyFill="1" applyBorder="1" applyAlignment="1">
      <alignment horizontal="right"/>
    </xf>
    <xf numFmtId="0" fontId="36" fillId="26" borderId="14" xfId="0" applyFont="1" applyFill="1" applyBorder="1" applyAlignment="1">
      <alignment vertical="top" wrapText="1"/>
    </xf>
    <xf numFmtId="0" fontId="37" fillId="27" borderId="14" xfId="0" applyFont="1" applyFill="1" applyBorder="1" applyAlignment="1">
      <alignment horizontal="center"/>
    </xf>
    <xf numFmtId="0" fontId="10" fillId="0" borderId="0" xfId="0" applyFont="1" applyAlignment="1">
      <alignment horizontal="center"/>
    </xf>
    <xf numFmtId="0" fontId="38" fillId="0" borderId="0" xfId="0" applyFont="1"/>
    <xf numFmtId="3" fontId="36" fillId="26" borderId="14" xfId="0" applyNumberFormat="1" applyFont="1" applyFill="1" applyBorder="1" applyAlignment="1">
      <alignment vertical="top" wrapText="1"/>
    </xf>
    <xf numFmtId="0" fontId="9" fillId="0" borderId="0" xfId="0" applyFont="1" applyAlignment="1">
      <alignment horizontal="center"/>
    </xf>
    <xf numFmtId="0" fontId="0" fillId="17" borderId="0" xfId="0" applyFill="1" applyBorder="1" applyAlignment="1"/>
    <xf numFmtId="0" fontId="19" fillId="0" borderId="0" xfId="5" applyFont="1" applyFill="1" applyBorder="1" applyAlignment="1">
      <alignment horizontal="center"/>
    </xf>
    <xf numFmtId="0" fontId="39" fillId="0" borderId="0" xfId="0" applyFont="1" applyAlignment="1">
      <alignment wrapText="1"/>
    </xf>
    <xf numFmtId="0" fontId="39" fillId="0" borderId="0" xfId="0" applyFont="1"/>
    <xf numFmtId="167" fontId="0" fillId="0" borderId="0" xfId="1" applyNumberFormat="1" applyFont="1"/>
    <xf numFmtId="0" fontId="0" fillId="0" borderId="0" xfId="1" applyNumberFormat="1" applyFont="1"/>
    <xf numFmtId="0" fontId="39" fillId="0" borderId="0" xfId="0" applyFont="1" applyAlignment="1"/>
    <xf numFmtId="0" fontId="40" fillId="0" borderId="0" xfId="0" applyFont="1"/>
    <xf numFmtId="0" fontId="0" fillId="17" borderId="0" xfId="0" applyFill="1" applyAlignment="1"/>
    <xf numFmtId="0" fontId="0" fillId="17" borderId="0" xfId="0" applyFill="1"/>
    <xf numFmtId="164" fontId="0" fillId="0" borderId="0" xfId="1" applyNumberFormat="1" applyFont="1"/>
    <xf numFmtId="0" fontId="41" fillId="28" borderId="0" xfId="0" applyFont="1" applyFill="1"/>
    <xf numFmtId="0" fontId="2" fillId="0" borderId="0" xfId="0" applyFont="1"/>
    <xf numFmtId="9" fontId="0" fillId="0" borderId="0" xfId="0" applyNumberFormat="1"/>
    <xf numFmtId="10" fontId="0" fillId="0" borderId="0" xfId="0" applyNumberFormat="1"/>
    <xf numFmtId="0" fontId="21" fillId="0" borderId="0" xfId="0" applyFont="1" applyAlignment="1">
      <alignment wrapText="1"/>
    </xf>
    <xf numFmtId="0" fontId="2" fillId="29" borderId="15" xfId="0" applyFont="1" applyFill="1" applyBorder="1"/>
    <xf numFmtId="0" fontId="0" fillId="30" borderId="0" xfId="0" applyFill="1"/>
    <xf numFmtId="0" fontId="42" fillId="0" borderId="0" xfId="0" applyFont="1" applyFill="1"/>
    <xf numFmtId="0" fontId="0" fillId="0" borderId="0" xfId="0" applyFill="1"/>
    <xf numFmtId="49" fontId="42" fillId="0" borderId="0" xfId="0" applyNumberFormat="1" applyFont="1" applyFill="1" applyAlignment="1">
      <alignment wrapText="1"/>
    </xf>
    <xf numFmtId="3" fontId="19" fillId="0" borderId="0" xfId="5" applyNumberFormat="1" applyFont="1" applyFill="1" applyBorder="1" applyAlignment="1">
      <alignment wrapText="1"/>
    </xf>
    <xf numFmtId="3" fontId="19" fillId="0" borderId="0" xfId="5" applyNumberFormat="1" applyFont="1" applyFill="1" applyBorder="1" applyAlignment="1"/>
    <xf numFmtId="0" fontId="0" fillId="31" borderId="0" xfId="0" applyFill="1"/>
    <xf numFmtId="0" fontId="45" fillId="0" borderId="0" xfId="4" applyFont="1"/>
    <xf numFmtId="0" fontId="46" fillId="0" borderId="0" xfId="4" applyFont="1" applyAlignment="1">
      <alignment horizontal="center" vertical="center" wrapText="1"/>
    </xf>
    <xf numFmtId="3" fontId="9" fillId="0" borderId="0" xfId="4" applyNumberFormat="1" applyFont="1"/>
    <xf numFmtId="0" fontId="46" fillId="0" borderId="0" xfId="4" applyFont="1"/>
    <xf numFmtId="3" fontId="46" fillId="0" borderId="0" xfId="4" applyNumberFormat="1" applyFont="1"/>
    <xf numFmtId="0" fontId="46" fillId="0" borderId="0" xfId="0" applyFont="1"/>
    <xf numFmtId="0" fontId="0" fillId="0" borderId="0" xfId="0" applyAlignment="1">
      <alignment horizontal="right"/>
    </xf>
    <xf numFmtId="0" fontId="46" fillId="0" borderId="9" xfId="4" applyFont="1" applyBorder="1" applyAlignment="1">
      <alignment horizontal="center" vertical="center"/>
    </xf>
    <xf numFmtId="0" fontId="46" fillId="0" borderId="16" xfId="4" applyFont="1" applyBorder="1" applyAlignment="1">
      <alignment horizontal="center" vertical="center" wrapText="1"/>
    </xf>
    <xf numFmtId="0" fontId="0" fillId="0" borderId="16" xfId="4" applyFont="1" applyBorder="1"/>
    <xf numFmtId="164" fontId="0" fillId="0" borderId="16" xfId="11" applyNumberFormat="1" applyFont="1" applyBorder="1" applyAlignment="1">
      <alignment horizontal="center"/>
    </xf>
    <xf numFmtId="0" fontId="0" fillId="0" borderId="17" xfId="4" applyFont="1" applyBorder="1"/>
    <xf numFmtId="164" fontId="0" fillId="0" borderId="17" xfId="11" applyNumberFormat="1" applyFont="1" applyBorder="1" applyAlignment="1">
      <alignment horizontal="center"/>
    </xf>
    <xf numFmtId="0" fontId="0" fillId="0" borderId="10" xfId="4" applyFont="1" applyBorder="1"/>
    <xf numFmtId="164" fontId="0" fillId="0" borderId="10" xfId="11" applyNumberFormat="1" applyFont="1" applyBorder="1" applyAlignment="1">
      <alignment horizontal="center"/>
    </xf>
    <xf numFmtId="0" fontId="47" fillId="0" borderId="0" xfId="0" applyFont="1"/>
    <xf numFmtId="3" fontId="0" fillId="0" borderId="16" xfId="11" applyNumberFormat="1" applyFont="1" applyBorder="1" applyAlignment="1">
      <alignment horizontal="center"/>
    </xf>
    <xf numFmtId="3" fontId="0" fillId="0" borderId="17" xfId="11" applyNumberFormat="1" applyFont="1" applyBorder="1" applyAlignment="1">
      <alignment horizontal="center"/>
    </xf>
    <xf numFmtId="3" fontId="0" fillId="0" borderId="10" xfId="11" applyNumberFormat="1" applyFont="1" applyBorder="1" applyAlignment="1">
      <alignment horizontal="center"/>
    </xf>
    <xf numFmtId="3" fontId="47" fillId="0" borderId="16" xfId="11" applyNumberFormat="1" applyFont="1" applyBorder="1" applyAlignment="1">
      <alignment horizontal="center"/>
    </xf>
    <xf numFmtId="3" fontId="47" fillId="0" borderId="17" xfId="11" applyNumberFormat="1" applyFont="1" applyBorder="1" applyAlignment="1">
      <alignment horizontal="center"/>
    </xf>
    <xf numFmtId="3" fontId="47" fillId="0" borderId="10" xfId="11" applyNumberFormat="1" applyFont="1" applyBorder="1" applyAlignment="1">
      <alignment horizontal="center"/>
    </xf>
    <xf numFmtId="0" fontId="45" fillId="0" borderId="16" xfId="4" applyFont="1" applyBorder="1" applyAlignment="1">
      <alignment horizontal="center" vertical="center" wrapText="1"/>
    </xf>
    <xf numFmtId="3" fontId="45" fillId="0" borderId="10" xfId="11" applyNumberFormat="1" applyFont="1" applyBorder="1" applyAlignment="1">
      <alignment horizontal="center"/>
    </xf>
    <xf numFmtId="0" fontId="0" fillId="32" borderId="0" xfId="0" applyFill="1"/>
    <xf numFmtId="167" fontId="0" fillId="0" borderId="0" xfId="0" applyNumberFormat="1"/>
    <xf numFmtId="0" fontId="44" fillId="0" borderId="0" xfId="0" applyFont="1"/>
    <xf numFmtId="0" fontId="50" fillId="2" borderId="0" xfId="0" applyFont="1" applyFill="1"/>
    <xf numFmtId="0" fontId="51" fillId="0" borderId="0" xfId="0" applyFont="1" applyFill="1" applyBorder="1" applyAlignment="1">
      <alignment horizontal="right" vertical="center" wrapText="1"/>
    </xf>
    <xf numFmtId="0" fontId="51" fillId="0" borderId="0" xfId="0" applyFont="1" applyFill="1" applyBorder="1" applyAlignment="1">
      <alignment horizontal="right" vertical="center"/>
    </xf>
    <xf numFmtId="0" fontId="50" fillId="0" borderId="0" xfId="0" applyFont="1"/>
    <xf numFmtId="0" fontId="51" fillId="2" borderId="0" xfId="0" applyFont="1" applyFill="1" applyAlignment="1">
      <alignment vertical="center"/>
    </xf>
    <xf numFmtId="0" fontId="51" fillId="2" borderId="0" xfId="0" applyFont="1" applyFill="1" applyAlignment="1"/>
    <xf numFmtId="0" fontId="51" fillId="2" borderId="0" xfId="0" applyFont="1" applyFill="1" applyAlignment="1">
      <alignment horizontal="center" vertical="center"/>
    </xf>
    <xf numFmtId="0" fontId="51" fillId="2" borderId="0" xfId="0" applyFont="1" applyFill="1" applyAlignment="1">
      <alignment horizontal="center" vertical="center" wrapText="1"/>
    </xf>
    <xf numFmtId="0" fontId="51" fillId="2" borderId="0" xfId="0" applyFont="1" applyFill="1" applyBorder="1" applyAlignment="1">
      <alignment horizontal="center" vertical="center"/>
    </xf>
    <xf numFmtId="0" fontId="50" fillId="0" borderId="0" xfId="0" applyFont="1" applyBorder="1"/>
    <xf numFmtId="0" fontId="52" fillId="0" borderId="0" xfId="0" applyFont="1" applyFill="1" applyAlignment="1" applyProtection="1">
      <alignment horizontal="center"/>
      <protection locked="0"/>
    </xf>
    <xf numFmtId="3" fontId="10" fillId="0" borderId="0" xfId="0" applyNumberFormat="1" applyFont="1" applyAlignment="1">
      <alignment horizontal="center"/>
    </xf>
    <xf numFmtId="3" fontId="10" fillId="0" borderId="0" xfId="0" applyNumberFormat="1" applyFont="1" applyAlignment="1">
      <alignment horizontal="center" vertical="center" wrapText="1"/>
    </xf>
    <xf numFmtId="3" fontId="10" fillId="0" borderId="0" xfId="0" applyNumberFormat="1" applyFont="1" applyAlignment="1">
      <alignment horizontal="center" wrapText="1"/>
    </xf>
    <xf numFmtId="167" fontId="10" fillId="0" borderId="0" xfId="1" applyNumberFormat="1" applyFont="1"/>
    <xf numFmtId="0" fontId="50" fillId="0" borderId="0" xfId="0" applyFont="1" applyAlignment="1">
      <alignment wrapText="1"/>
    </xf>
    <xf numFmtId="0" fontId="50" fillId="0" borderId="0" xfId="0" applyFont="1" applyAlignment="1"/>
    <xf numFmtId="9" fontId="50" fillId="0" borderId="0" xfId="1" applyFont="1"/>
    <xf numFmtId="0" fontId="50" fillId="0" borderId="0" xfId="0" applyFont="1" applyFill="1"/>
    <xf numFmtId="0" fontId="0" fillId="0" borderId="0" xfId="0" applyNumberFormat="1"/>
    <xf numFmtId="0" fontId="57" fillId="0" borderId="0" xfId="0" applyFont="1"/>
    <xf numFmtId="0" fontId="54" fillId="0" borderId="0" xfId="0" applyFont="1"/>
    <xf numFmtId="1" fontId="0" fillId="0" borderId="0" xfId="0" applyNumberFormat="1"/>
    <xf numFmtId="0" fontId="28" fillId="0" borderId="0" xfId="0" applyNumberFormat="1" applyFont="1" applyBorder="1" applyAlignment="1">
      <alignment horizontal="center" vertical="center"/>
    </xf>
    <xf numFmtId="166" fontId="0" fillId="0" borderId="0" xfId="0" applyNumberFormat="1"/>
    <xf numFmtId="167" fontId="0" fillId="0" borderId="0" xfId="1" applyNumberFormat="1" applyFont="1" applyBorder="1"/>
    <xf numFmtId="0" fontId="9" fillId="0" borderId="0" xfId="0" applyFont="1" applyAlignment="1">
      <alignment horizontal="left" wrapText="1"/>
    </xf>
    <xf numFmtId="0" fontId="0" fillId="0" borderId="0" xfId="0" applyFill="1" applyBorder="1" applyAlignment="1"/>
    <xf numFmtId="0" fontId="9" fillId="0" borderId="0" xfId="0" applyFont="1" applyFill="1"/>
    <xf numFmtId="0" fontId="5" fillId="0" borderId="0" xfId="0" applyFont="1"/>
    <xf numFmtId="0" fontId="10" fillId="0" borderId="0" xfId="0" applyFont="1" applyAlignment="1"/>
    <xf numFmtId="0" fontId="31" fillId="0" borderId="0" xfId="0" applyFont="1"/>
    <xf numFmtId="3" fontId="31" fillId="0" borderId="0" xfId="0" applyNumberFormat="1" applyFont="1"/>
    <xf numFmtId="0" fontId="0" fillId="0" borderId="0" xfId="0" applyFont="1"/>
    <xf numFmtId="0" fontId="10" fillId="0" borderId="0" xfId="0" applyFont="1" applyAlignment="1">
      <alignment horizontal="left" vertical="center" wrapText="1"/>
    </xf>
    <xf numFmtId="0" fontId="44" fillId="2" borderId="0" xfId="0" applyNumberFormat="1" applyFont="1" applyFill="1" applyBorder="1" applyAlignment="1" applyProtection="1">
      <protection hidden="1"/>
    </xf>
    <xf numFmtId="9" fontId="0" fillId="0" borderId="0" xfId="0" applyNumberFormat="1" applyAlignment="1">
      <alignment horizontal="center"/>
    </xf>
    <xf numFmtId="3" fontId="41" fillId="28" borderId="0" xfId="0" applyNumberFormat="1" applyFont="1" applyFill="1"/>
    <xf numFmtId="164" fontId="0" fillId="0" borderId="0" xfId="0" applyNumberFormat="1"/>
    <xf numFmtId="0" fontId="66" fillId="0" borderId="0" xfId="0" applyFont="1"/>
    <xf numFmtId="0" fontId="50" fillId="0" borderId="0" xfId="0" applyFont="1" applyAlignment="1">
      <alignment horizontal="center" vertical="center" wrapText="1"/>
    </xf>
    <xf numFmtId="4" fontId="0" fillId="0" borderId="0" xfId="0" applyNumberFormat="1"/>
    <xf numFmtId="3" fontId="0" fillId="0" borderId="0" xfId="0" quotePrefix="1" applyNumberFormat="1"/>
    <xf numFmtId="3" fontId="23" fillId="15" borderId="0" xfId="0" applyNumberFormat="1" applyFont="1" applyFill="1"/>
    <xf numFmtId="0" fontId="49" fillId="30" borderId="0" xfId="12" applyFill="1"/>
    <xf numFmtId="0" fontId="49" fillId="33" borderId="0" xfId="12" applyFill="1"/>
    <xf numFmtId="0" fontId="0" fillId="33" borderId="0" xfId="0" applyFill="1"/>
    <xf numFmtId="3" fontId="67" fillId="0" borderId="0" xfId="0" applyNumberFormat="1" applyFont="1"/>
    <xf numFmtId="0" fontId="54" fillId="0" borderId="0" xfId="0" applyFont="1" applyAlignment="1">
      <alignment wrapText="1"/>
    </xf>
    <xf numFmtId="0" fontId="68" fillId="0" borderId="0" xfId="0" applyFont="1" applyFill="1"/>
    <xf numFmtId="0" fontId="18" fillId="0" borderId="0" xfId="0" applyFont="1" applyFill="1"/>
    <xf numFmtId="0" fontId="68" fillId="0" borderId="0" xfId="0" applyFont="1" applyFill="1" applyAlignment="1">
      <alignment vertical="center"/>
    </xf>
    <xf numFmtId="0" fontId="68" fillId="0" borderId="33" xfId="0" applyFont="1" applyFill="1" applyBorder="1" applyAlignment="1">
      <alignment horizontal="center" vertical="center" wrapText="1"/>
    </xf>
    <xf numFmtId="0" fontId="18" fillId="0" borderId="45" xfId="0" applyFont="1" applyFill="1" applyBorder="1" applyAlignment="1">
      <alignment vertical="center"/>
    </xf>
    <xf numFmtId="0" fontId="18" fillId="0" borderId="30" xfId="0" applyFont="1" applyFill="1" applyBorder="1" applyAlignment="1">
      <alignment vertical="center"/>
    </xf>
    <xf numFmtId="0" fontId="18" fillId="0" borderId="30" xfId="0" applyFont="1" applyFill="1" applyBorder="1" applyAlignment="1">
      <alignment horizontal="right" vertical="center"/>
    </xf>
    <xf numFmtId="0" fontId="18" fillId="0" borderId="44" xfId="0" applyFont="1" applyFill="1" applyBorder="1" applyAlignment="1">
      <alignment vertical="center"/>
    </xf>
    <xf numFmtId="0" fontId="18" fillId="0" borderId="33" xfId="0" applyFont="1" applyFill="1" applyBorder="1" applyAlignment="1">
      <alignment vertical="center"/>
    </xf>
    <xf numFmtId="0" fontId="18" fillId="0" borderId="33" xfId="0" applyFont="1" applyFill="1" applyBorder="1" applyAlignment="1">
      <alignment horizontal="right" vertical="center"/>
    </xf>
    <xf numFmtId="3" fontId="0" fillId="28" borderId="0" xfId="0" applyNumberFormat="1" applyFill="1"/>
    <xf numFmtId="0" fontId="0" fillId="28" borderId="0" xfId="0" applyFill="1"/>
    <xf numFmtId="0" fontId="66" fillId="0" borderId="0" xfId="0" applyFont="1" applyFill="1"/>
    <xf numFmtId="2" fontId="42" fillId="0" borderId="0" xfId="0" applyNumberFormat="1" applyFont="1" applyFill="1"/>
    <xf numFmtId="0" fontId="66" fillId="0" borderId="0" xfId="0" applyFont="1" applyBorder="1"/>
    <xf numFmtId="3" fontId="67" fillId="0" borderId="0" xfId="0" applyNumberFormat="1" applyFont="1" applyAlignment="1">
      <alignment wrapText="1"/>
    </xf>
    <xf numFmtId="3" fontId="71" fillId="0" borderId="0" xfId="0" applyNumberFormat="1" applyFont="1" applyAlignment="1">
      <alignment wrapText="1"/>
    </xf>
    <xf numFmtId="3" fontId="71" fillId="0" borderId="0" xfId="0" applyNumberFormat="1" applyFont="1"/>
    <xf numFmtId="3" fontId="72" fillId="0" borderId="0" xfId="0" applyNumberFormat="1" applyFont="1" applyAlignment="1">
      <alignment wrapText="1"/>
    </xf>
    <xf numFmtId="3" fontId="72" fillId="0" borderId="0" xfId="0" applyNumberFormat="1" applyFont="1"/>
    <xf numFmtId="3" fontId="2" fillId="0" borderId="0" xfId="0" applyNumberFormat="1" applyFont="1"/>
    <xf numFmtId="3" fontId="2" fillId="0" borderId="0" xfId="0" applyNumberFormat="1" applyFont="1" applyAlignment="1">
      <alignment wrapText="1"/>
    </xf>
    <xf numFmtId="3" fontId="2" fillId="28" borderId="0" xfId="0" applyNumberFormat="1" applyFont="1" applyFill="1"/>
    <xf numFmtId="3" fontId="30" fillId="0" borderId="0" xfId="0" applyNumberFormat="1" applyFont="1" applyAlignment="1">
      <alignment wrapText="1"/>
    </xf>
    <xf numFmtId="167" fontId="67" fillId="0" borderId="0" xfId="1" applyNumberFormat="1" applyFont="1"/>
    <xf numFmtId="167" fontId="71" fillId="0" borderId="0" xfId="1" applyNumberFormat="1" applyFont="1"/>
    <xf numFmtId="167" fontId="72" fillId="0" borderId="0" xfId="1" applyNumberFormat="1" applyFont="1"/>
    <xf numFmtId="0" fontId="58" fillId="0" borderId="0" xfId="0" applyFont="1" applyAlignment="1">
      <alignment wrapText="1"/>
    </xf>
    <xf numFmtId="0" fontId="0" fillId="11" borderId="0" xfId="0" applyFill="1"/>
    <xf numFmtId="171" fontId="0" fillId="0" borderId="0" xfId="11" applyNumberFormat="1" applyFont="1"/>
    <xf numFmtId="0" fontId="2" fillId="0" borderId="0" xfId="0" applyFont="1" applyAlignment="1">
      <alignment vertical="center"/>
    </xf>
    <xf numFmtId="0" fontId="0" fillId="34" borderId="0" xfId="0" applyFill="1"/>
    <xf numFmtId="0" fontId="76" fillId="0" borderId="0" xfId="0" applyFont="1"/>
    <xf numFmtId="0" fontId="78" fillId="0" borderId="0" xfId="4" applyFont="1"/>
    <xf numFmtId="0" fontId="79" fillId="0" borderId="0" xfId="0" applyFont="1"/>
    <xf numFmtId="0" fontId="80" fillId="0" borderId="0" xfId="4" applyFont="1"/>
    <xf numFmtId="0" fontId="81" fillId="0" borderId="0" xfId="4" applyFont="1" applyAlignment="1">
      <alignment horizontal="center" vertical="center" wrapText="1"/>
    </xf>
    <xf numFmtId="0" fontId="82" fillId="0" borderId="0" xfId="4" applyFont="1"/>
    <xf numFmtId="3" fontId="82" fillId="0" borderId="0" xfId="4" applyNumberFormat="1" applyFont="1"/>
    <xf numFmtId="0" fontId="81" fillId="0" borderId="0" xfId="4" applyFont="1"/>
    <xf numFmtId="3" fontId="81" fillId="0" borderId="0" xfId="4" applyNumberFormat="1" applyFont="1"/>
    <xf numFmtId="1" fontId="0" fillId="0" borderId="0" xfId="1" applyNumberFormat="1" applyFont="1"/>
    <xf numFmtId="9" fontId="1" fillId="0" borderId="0" xfId="1" applyFont="1"/>
    <xf numFmtId="0" fontId="1" fillId="0" borderId="0" xfId="0" applyFont="1"/>
    <xf numFmtId="9" fontId="5" fillId="0" borderId="0" xfId="1" applyFont="1"/>
    <xf numFmtId="0" fontId="0" fillId="24" borderId="0" xfId="0" applyFill="1"/>
    <xf numFmtId="0" fontId="49" fillId="24" borderId="0" xfId="12" applyFill="1"/>
    <xf numFmtId="0" fontId="46" fillId="0" borderId="0" xfId="4" applyFont="1" applyBorder="1" applyAlignment="1">
      <alignment horizontal="left"/>
    </xf>
    <xf numFmtId="3" fontId="46" fillId="0" borderId="0" xfId="11" applyNumberFormat="1" applyFont="1" applyBorder="1" applyAlignment="1">
      <alignment horizontal="center"/>
    </xf>
    <xf numFmtId="164" fontId="46" fillId="0" borderId="0" xfId="11" applyNumberFormat="1" applyFont="1" applyBorder="1" applyAlignment="1">
      <alignment horizontal="center"/>
    </xf>
    <xf numFmtId="3" fontId="45" fillId="0" borderId="0" xfId="11" applyNumberFormat="1" applyFont="1" applyBorder="1" applyAlignment="1">
      <alignment horizontal="center"/>
    </xf>
    <xf numFmtId="0" fontId="9" fillId="0" borderId="10" xfId="4" applyFont="1" applyBorder="1" applyAlignment="1">
      <alignment horizontal="left"/>
    </xf>
    <xf numFmtId="3" fontId="9" fillId="0" borderId="10" xfId="11" applyNumberFormat="1" applyFont="1" applyBorder="1" applyAlignment="1">
      <alignment horizontal="center"/>
    </xf>
    <xf numFmtId="164" fontId="9" fillId="0" borderId="10" xfId="11" applyNumberFormat="1" applyFont="1" applyBorder="1" applyAlignment="1">
      <alignment horizontal="center"/>
    </xf>
    <xf numFmtId="0" fontId="0" fillId="0" borderId="0" xfId="0" applyAlignment="1">
      <alignment horizontal="center" wrapText="1"/>
    </xf>
    <xf numFmtId="0" fontId="87" fillId="0" borderId="0" xfId="0" applyFont="1"/>
    <xf numFmtId="2" fontId="10" fillId="13" borderId="0" xfId="0" applyNumberFormat="1" applyFont="1" applyFill="1"/>
    <xf numFmtId="2" fontId="10" fillId="0" borderId="0" xfId="0" applyNumberFormat="1" applyFont="1" applyAlignment="1">
      <alignment horizontal="center" wrapText="1"/>
    </xf>
    <xf numFmtId="2" fontId="10" fillId="0" borderId="0" xfId="0" applyNumberFormat="1" applyFont="1"/>
    <xf numFmtId="2" fontId="41" fillId="28" borderId="0" xfId="0" applyNumberFormat="1" applyFont="1" applyFill="1"/>
    <xf numFmtId="2" fontId="10" fillId="0" borderId="0" xfId="0" applyNumberFormat="1" applyFont="1" applyAlignment="1">
      <alignment wrapText="1"/>
    </xf>
    <xf numFmtId="0" fontId="0" fillId="0" borderId="0" xfId="0" applyNumberFormat="1" applyBorder="1"/>
    <xf numFmtId="0" fontId="0" fillId="4" borderId="0" xfId="0" applyFill="1" applyBorder="1" applyAlignment="1">
      <alignment wrapText="1"/>
    </xf>
    <xf numFmtId="0" fontId="0" fillId="4" borderId="0" xfId="0" applyFill="1"/>
    <xf numFmtId="0" fontId="54" fillId="0" borderId="0" xfId="0" applyFont="1" applyBorder="1"/>
    <xf numFmtId="0" fontId="66" fillId="2" borderId="0" xfId="0" applyFont="1" applyFill="1" applyProtection="1">
      <protection hidden="1"/>
    </xf>
    <xf numFmtId="0" fontId="0" fillId="0" borderId="0" xfId="0" applyProtection="1">
      <protection hidden="1"/>
    </xf>
    <xf numFmtId="0" fontId="89" fillId="35" borderId="0" xfId="0" applyFont="1" applyFill="1" applyProtection="1">
      <protection hidden="1"/>
    </xf>
    <xf numFmtId="0" fontId="73" fillId="35" borderId="0" xfId="0" applyFont="1" applyFill="1" applyProtection="1">
      <protection hidden="1"/>
    </xf>
    <xf numFmtId="0" fontId="91" fillId="0" borderId="0" xfId="0" applyFont="1" applyProtection="1">
      <protection hidden="1"/>
    </xf>
    <xf numFmtId="0" fontId="93" fillId="2" borderId="0" xfId="0" applyFont="1" applyFill="1" applyAlignment="1" applyProtection="1">
      <alignment horizontal="left" wrapText="1"/>
      <protection hidden="1"/>
    </xf>
    <xf numFmtId="0" fontId="83" fillId="2" borderId="0" xfId="0" applyFont="1" applyFill="1" applyAlignment="1" applyProtection="1">
      <alignment horizontal="left" vertical="center" wrapText="1"/>
      <protection hidden="1"/>
    </xf>
    <xf numFmtId="0" fontId="89" fillId="35" borderId="0" xfId="0" applyFont="1" applyFill="1" applyAlignment="1" applyProtection="1">
      <protection hidden="1"/>
    </xf>
    <xf numFmtId="0" fontId="50" fillId="2" borderId="0" xfId="0" applyFont="1" applyFill="1" applyAlignment="1" applyProtection="1">
      <alignment horizontal="left" vertical="center" wrapText="1"/>
      <protection hidden="1"/>
    </xf>
    <xf numFmtId="0" fontId="66" fillId="2" borderId="0" xfId="0" applyFont="1" applyFill="1" applyAlignment="1" applyProtection="1">
      <alignment horizontal="left" vertical="center" wrapText="1"/>
      <protection hidden="1"/>
    </xf>
    <xf numFmtId="0" fontId="95" fillId="2" borderId="0" xfId="0" applyFont="1" applyFill="1" applyAlignment="1" applyProtection="1">
      <alignment horizontal="right" vertical="center"/>
      <protection hidden="1"/>
    </xf>
    <xf numFmtId="0" fontId="53" fillId="2" borderId="0" xfId="0" applyFont="1" applyFill="1" applyAlignment="1" applyProtection="1">
      <alignment horizontal="left"/>
      <protection hidden="1"/>
    </xf>
    <xf numFmtId="0" fontId="89" fillId="2" borderId="0" xfId="0" applyFont="1" applyFill="1" applyAlignment="1" applyProtection="1">
      <alignment horizontal="left"/>
      <protection hidden="1"/>
    </xf>
    <xf numFmtId="0" fontId="90" fillId="2" borderId="0" xfId="0" applyFont="1" applyFill="1" applyAlignment="1" applyProtection="1">
      <alignment horizontal="right"/>
      <protection hidden="1"/>
    </xf>
    <xf numFmtId="0" fontId="94" fillId="0" borderId="0" xfId="0" applyFont="1" applyAlignment="1" applyProtection="1">
      <alignment horizontal="left" vertical="center" readingOrder="1"/>
      <protection hidden="1"/>
    </xf>
    <xf numFmtId="0" fontId="50" fillId="2" borderId="0" xfId="0" applyFont="1" applyFill="1" applyProtection="1">
      <protection hidden="1"/>
    </xf>
    <xf numFmtId="0" fontId="66" fillId="0" borderId="0" xfId="0" applyFont="1" applyProtection="1">
      <protection hidden="1"/>
    </xf>
    <xf numFmtId="0" fontId="97" fillId="0" borderId="0" xfId="0" applyFont="1" applyAlignment="1"/>
    <xf numFmtId="0" fontId="50" fillId="0" borderId="0" xfId="0" applyFont="1" applyProtection="1">
      <protection hidden="1"/>
    </xf>
    <xf numFmtId="0" fontId="50" fillId="0" borderId="0" xfId="0" applyFont="1" applyAlignment="1" applyProtection="1">
      <alignment vertical="top" wrapText="1"/>
      <protection hidden="1"/>
    </xf>
    <xf numFmtId="0" fontId="50" fillId="2" borderId="0" xfId="0" applyFont="1" applyFill="1" applyAlignment="1" applyProtection="1">
      <alignment vertical="center"/>
      <protection hidden="1"/>
    </xf>
    <xf numFmtId="0" fontId="54" fillId="0" borderId="0" xfId="0" applyFont="1" applyFill="1"/>
    <xf numFmtId="3" fontId="33" fillId="0" borderId="0" xfId="0" quotePrefix="1" applyNumberFormat="1" applyFont="1"/>
    <xf numFmtId="167" fontId="33" fillId="0" borderId="0" xfId="1" applyNumberFormat="1" applyFont="1"/>
    <xf numFmtId="0" fontId="101" fillId="2" borderId="0" xfId="0" applyFont="1" applyFill="1" applyProtection="1">
      <protection hidden="1"/>
    </xf>
    <xf numFmtId="0" fontId="101" fillId="2" borderId="0" xfId="0" applyFont="1" applyFill="1" applyAlignment="1" applyProtection="1">
      <alignment vertical="center"/>
      <protection hidden="1"/>
    </xf>
    <xf numFmtId="0" fontId="66" fillId="0" borderId="0" xfId="0" applyFont="1" applyAlignment="1" applyProtection="1">
      <alignment vertical="center"/>
      <protection hidden="1"/>
    </xf>
    <xf numFmtId="0" fontId="0" fillId="0" borderId="0" xfId="0" applyAlignment="1" applyProtection="1">
      <alignment vertical="center"/>
      <protection hidden="1"/>
    </xf>
    <xf numFmtId="0" fontId="0" fillId="0" borderId="0" xfId="0" applyAlignment="1">
      <alignment horizontal="center"/>
    </xf>
    <xf numFmtId="167" fontId="12" fillId="0" borderId="0" xfId="1" applyNumberFormat="1" applyFont="1"/>
    <xf numFmtId="0" fontId="11" fillId="0" borderId="0" xfId="0" applyFont="1"/>
    <xf numFmtId="0" fontId="49" fillId="23" borderId="0" xfId="12" applyFill="1"/>
    <xf numFmtId="9" fontId="39" fillId="0" borderId="0" xfId="1" applyFont="1"/>
    <xf numFmtId="0" fontId="19" fillId="0" borderId="0" xfId="14" applyFont="1" applyFill="1" applyBorder="1" applyAlignment="1">
      <alignment wrapText="1"/>
    </xf>
    <xf numFmtId="3" fontId="39" fillId="0" borderId="0" xfId="0" quotePrefix="1" applyNumberFormat="1" applyFont="1"/>
    <xf numFmtId="3" fontId="39" fillId="0" borderId="0" xfId="0" applyNumberFormat="1" applyFont="1"/>
    <xf numFmtId="0" fontId="0" fillId="23" borderId="0" xfId="0" applyFill="1" applyAlignment="1"/>
    <xf numFmtId="0" fontId="19" fillId="0" borderId="11" xfId="13" applyFont="1" applyFill="1" applyBorder="1" applyAlignment="1"/>
    <xf numFmtId="0" fontId="19" fillId="0" borderId="11" xfId="14" applyFont="1" applyFill="1" applyBorder="1" applyAlignment="1"/>
    <xf numFmtId="0" fontId="0" fillId="23" borderId="0" xfId="0" applyFill="1" applyBorder="1" applyAlignment="1"/>
    <xf numFmtId="0" fontId="19" fillId="0" borderId="11" xfId="13" applyFont="1" applyFill="1" applyBorder="1" applyAlignment="1">
      <alignment horizontal="right"/>
    </xf>
    <xf numFmtId="9" fontId="0" fillId="0" borderId="0" xfId="1" applyFont="1" applyBorder="1" applyAlignment="1"/>
    <xf numFmtId="0" fontId="19" fillId="14" borderId="0" xfId="9" applyFont="1" applyFill="1" applyBorder="1" applyAlignment="1">
      <alignment horizontal="center"/>
    </xf>
    <xf numFmtId="0" fontId="19" fillId="0" borderId="0" xfId="10" applyFont="1" applyFill="1" applyBorder="1" applyAlignment="1">
      <alignment horizontal="center"/>
    </xf>
    <xf numFmtId="0" fontId="19" fillId="0" borderId="0" xfId="10" applyFont="1" applyFill="1" applyBorder="1" applyAlignment="1"/>
    <xf numFmtId="0" fontId="19" fillId="0" borderId="0" xfId="13" applyFont="1" applyFill="1" applyBorder="1" applyAlignment="1"/>
    <xf numFmtId="0" fontId="19" fillId="0" borderId="0" xfId="14" applyFont="1" applyFill="1" applyBorder="1" applyAlignment="1"/>
    <xf numFmtId="0" fontId="19" fillId="0" borderId="0" xfId="14" applyFont="1" applyFill="1" applyBorder="1" applyAlignment="1">
      <alignment horizontal="right"/>
    </xf>
    <xf numFmtId="9" fontId="0" fillId="0" borderId="0" xfId="1" applyFont="1" applyAlignment="1"/>
    <xf numFmtId="0" fontId="19" fillId="0" borderId="0" xfId="3" quotePrefix="1" applyFont="1" applyFill="1" applyBorder="1" applyAlignment="1">
      <alignment horizontal="center"/>
    </xf>
    <xf numFmtId="0" fontId="19" fillId="14" borderId="0" xfId="3" quotePrefix="1" applyFont="1" applyFill="1" applyBorder="1" applyAlignment="1">
      <alignment horizontal="center"/>
    </xf>
    <xf numFmtId="0" fontId="19" fillId="0" borderId="11" xfId="3" applyFont="1" applyFill="1" applyBorder="1" applyAlignment="1"/>
    <xf numFmtId="167" fontId="0" fillId="0" borderId="0" xfId="1" applyNumberFormat="1" applyFont="1" applyAlignment="1"/>
    <xf numFmtId="0" fontId="23" fillId="0" borderId="0" xfId="0" applyFont="1" applyFill="1" applyBorder="1"/>
    <xf numFmtId="164" fontId="5" fillId="0" borderId="17" xfId="11" applyNumberFormat="1" applyFont="1" applyBorder="1" applyAlignment="1">
      <alignment horizontal="center"/>
    </xf>
    <xf numFmtId="3" fontId="5" fillId="0" borderId="17" xfId="11" applyNumberFormat="1" applyFont="1" applyBorder="1" applyAlignment="1">
      <alignment horizontal="center"/>
    </xf>
    <xf numFmtId="0" fontId="50" fillId="2" borderId="0" xfId="0" applyFont="1" applyFill="1" applyAlignment="1" applyProtection="1">
      <alignment horizontal="left" vertical="center"/>
      <protection hidden="1"/>
    </xf>
    <xf numFmtId="0" fontId="0" fillId="0" borderId="0" xfId="0" applyAlignment="1" applyProtection="1">
      <alignment horizontal="center"/>
      <protection hidden="1"/>
    </xf>
    <xf numFmtId="0" fontId="50" fillId="0" borderId="0" xfId="0" applyFont="1" applyAlignment="1">
      <alignment vertical="center"/>
    </xf>
    <xf numFmtId="0" fontId="90" fillId="35" borderId="0" xfId="0" applyFont="1" applyFill="1" applyAlignment="1" applyProtection="1">
      <protection hidden="1"/>
    </xf>
    <xf numFmtId="0" fontId="50" fillId="0" borderId="0" xfId="0" applyFont="1" applyAlignment="1" applyProtection="1">
      <alignment vertical="top"/>
      <protection hidden="1"/>
    </xf>
    <xf numFmtId="3" fontId="49" fillId="36" borderId="0" xfId="12" applyNumberFormat="1" applyFill="1"/>
    <xf numFmtId="3" fontId="35" fillId="36" borderId="0" xfId="0" applyNumberFormat="1" applyFont="1" applyFill="1"/>
    <xf numFmtId="0" fontId="53" fillId="2" borderId="0" xfId="0" applyFont="1" applyFill="1" applyAlignment="1" applyProtection="1">
      <alignment vertical="center"/>
      <protection hidden="1"/>
    </xf>
    <xf numFmtId="0" fontId="53" fillId="2" borderId="0" xfId="0" quotePrefix="1" applyFont="1" applyFill="1" applyAlignment="1" applyProtection="1">
      <alignment vertical="center"/>
      <protection hidden="1"/>
    </xf>
    <xf numFmtId="0" fontId="0" fillId="0" borderId="0" xfId="0" applyAlignment="1">
      <alignment horizontal="left" vertical="center"/>
    </xf>
    <xf numFmtId="0" fontId="0" fillId="0" borderId="0" xfId="0" applyAlignment="1" applyProtection="1">
      <protection hidden="1"/>
    </xf>
    <xf numFmtId="0" fontId="89" fillId="35" borderId="0" xfId="0" applyFont="1" applyFill="1" applyAlignment="1" applyProtection="1">
      <alignment vertical="center"/>
      <protection hidden="1"/>
    </xf>
    <xf numFmtId="0" fontId="122" fillId="0" borderId="0" xfId="0" applyFont="1"/>
    <xf numFmtId="0" fontId="66" fillId="2" borderId="0" xfId="0" applyFont="1" applyFill="1" applyBorder="1" applyProtection="1">
      <protection hidden="1"/>
    </xf>
    <xf numFmtId="0" fontId="0" fillId="0" borderId="0" xfId="0" applyBorder="1" applyAlignment="1">
      <alignment vertical="top" wrapText="1"/>
    </xf>
    <xf numFmtId="9" fontId="9" fillId="0" borderId="0" xfId="1" applyFont="1"/>
    <xf numFmtId="0" fontId="50" fillId="0" borderId="0" xfId="0" applyFont="1" applyAlignment="1">
      <alignment horizontal="left" vertical="center"/>
    </xf>
    <xf numFmtId="10" fontId="0" fillId="0" borderId="0" xfId="1" applyNumberFormat="1" applyFont="1" applyBorder="1"/>
    <xf numFmtId="0" fontId="50" fillId="0" borderId="0" xfId="0" applyFont="1" applyBorder="1" applyProtection="1">
      <protection hidden="1"/>
    </xf>
    <xf numFmtId="0" fontId="50" fillId="2" borderId="0" xfId="0" applyFont="1" applyFill="1" applyBorder="1" applyProtection="1">
      <protection hidden="1"/>
    </xf>
    <xf numFmtId="0" fontId="50" fillId="0" borderId="0" xfId="0" applyFont="1" applyBorder="1" applyAlignment="1" applyProtection="1">
      <alignment vertical="center" wrapText="1"/>
      <protection hidden="1"/>
    </xf>
    <xf numFmtId="0" fontId="50" fillId="0" borderId="0" xfId="0" applyFont="1" applyAlignment="1" applyProtection="1">
      <alignment horizontal="left" indent="2"/>
      <protection hidden="1"/>
    </xf>
    <xf numFmtId="0" fontId="125" fillId="0" borderId="0" xfId="0" applyFont="1" applyBorder="1"/>
    <xf numFmtId="0" fontId="98" fillId="0" borderId="0" xfId="0" applyFont="1" applyFill="1"/>
    <xf numFmtId="0" fontId="50" fillId="2" borderId="0" xfId="0" applyFont="1" applyFill="1" applyAlignment="1" applyProtection="1">
      <alignment horizontal="justify" vertical="center" wrapText="1"/>
      <protection hidden="1"/>
    </xf>
    <xf numFmtId="0" fontId="50" fillId="2" borderId="0" xfId="0" applyFont="1" applyFill="1" applyAlignment="1" applyProtection="1">
      <alignment horizontal="left" vertical="center" wrapText="1"/>
      <protection hidden="1"/>
    </xf>
    <xf numFmtId="0" fontId="89" fillId="35" borderId="0" xfId="0" applyFont="1" applyFill="1" applyAlignment="1" applyProtection="1">
      <alignment horizontal="left"/>
      <protection hidden="1"/>
    </xf>
    <xf numFmtId="0" fontId="90" fillId="35" borderId="0" xfId="0" applyFont="1" applyFill="1" applyAlignment="1" applyProtection="1">
      <alignment horizontal="right"/>
      <protection hidden="1"/>
    </xf>
    <xf numFmtId="0" fontId="50" fillId="0" borderId="0" xfId="0" applyFont="1" applyAlignment="1" applyProtection="1">
      <alignment horizontal="left" vertical="center" wrapText="1"/>
      <protection hidden="1"/>
    </xf>
    <xf numFmtId="0" fontId="90" fillId="35" borderId="0" xfId="0" applyFont="1" applyFill="1" applyAlignment="1" applyProtection="1">
      <alignment horizontal="right" vertical="center"/>
      <protection hidden="1"/>
    </xf>
    <xf numFmtId="0" fontId="90" fillId="35" borderId="0" xfId="0" applyFont="1" applyFill="1" applyAlignment="1" applyProtection="1">
      <alignment horizontal="center"/>
      <protection hidden="1"/>
    </xf>
    <xf numFmtId="0" fontId="50" fillId="0" borderId="0" xfId="0" applyFont="1" applyAlignment="1" applyProtection="1">
      <alignment horizontal="left" vertical="top" wrapText="1"/>
      <protection hidden="1"/>
    </xf>
    <xf numFmtId="0" fontId="54" fillId="0" borderId="22" xfId="0" applyFont="1" applyBorder="1" applyAlignment="1" applyProtection="1">
      <protection hidden="1"/>
    </xf>
    <xf numFmtId="0" fontId="0" fillId="0" borderId="23" xfId="0" applyBorder="1" applyProtection="1">
      <protection hidden="1"/>
    </xf>
    <xf numFmtId="0" fontId="44" fillId="0" borderId="0" xfId="0" applyFont="1" applyProtection="1">
      <protection hidden="1"/>
    </xf>
    <xf numFmtId="167" fontId="50" fillId="0" borderId="0" xfId="1" applyNumberFormat="1" applyFont="1" applyAlignment="1" applyProtection="1">
      <protection hidden="1"/>
    </xf>
    <xf numFmtId="0" fontId="4" fillId="0" borderId="0" xfId="0" applyFont="1" applyFill="1" applyAlignment="1" applyProtection="1">
      <alignment horizontal="center" vertical="center"/>
      <protection hidden="1"/>
    </xf>
    <xf numFmtId="0" fontId="84" fillId="0" borderId="0" xfId="0" applyFont="1" applyFill="1" applyAlignment="1" applyProtection="1">
      <alignment horizontal="center"/>
      <protection hidden="1"/>
    </xf>
    <xf numFmtId="0" fontId="54" fillId="0" borderId="0" xfId="0" applyFont="1" applyProtection="1">
      <protection hidden="1"/>
    </xf>
    <xf numFmtId="9" fontId="54" fillId="0" borderId="0" xfId="0" applyNumberFormat="1" applyFont="1" applyProtection="1">
      <protection hidden="1"/>
    </xf>
    <xf numFmtId="0" fontId="61" fillId="0" borderId="0" xfId="0" applyFont="1" applyProtection="1">
      <protection hidden="1"/>
    </xf>
    <xf numFmtId="0" fontId="53" fillId="0" borderId="0" xfId="0" applyFont="1" applyProtection="1">
      <protection hidden="1"/>
    </xf>
    <xf numFmtId="0" fontId="48" fillId="0" borderId="0" xfId="0" applyFont="1" applyProtection="1">
      <protection hidden="1"/>
    </xf>
    <xf numFmtId="3" fontId="54" fillId="0" borderId="0" xfId="0" applyNumberFormat="1" applyFont="1" applyProtection="1">
      <protection hidden="1"/>
    </xf>
    <xf numFmtId="0" fontId="56" fillId="0" borderId="0" xfId="0" applyFont="1" applyFill="1" applyAlignment="1" applyProtection="1">
      <alignment horizontal="center" vertical="center"/>
      <protection hidden="1"/>
    </xf>
    <xf numFmtId="0" fontId="52" fillId="0" borderId="0" xfId="0" applyFont="1" applyFill="1" applyAlignment="1" applyProtection="1">
      <alignment horizontal="center"/>
      <protection hidden="1"/>
    </xf>
    <xf numFmtId="0" fontId="50" fillId="0" borderId="23" xfId="0" applyFont="1" applyBorder="1" applyProtection="1">
      <protection hidden="1"/>
    </xf>
    <xf numFmtId="0" fontId="52" fillId="0" borderId="0" xfId="0" applyFont="1" applyProtection="1">
      <protection hidden="1"/>
    </xf>
    <xf numFmtId="0" fontId="49" fillId="0" borderId="0" xfId="12" applyProtection="1">
      <protection hidden="1"/>
    </xf>
    <xf numFmtId="0" fontId="50" fillId="0" borderId="0" xfId="0" applyFont="1" applyAlignment="1" applyProtection="1">
      <alignment wrapText="1"/>
      <protection hidden="1"/>
    </xf>
    <xf numFmtId="0" fontId="50" fillId="0" borderId="0" xfId="0" applyFont="1" applyFill="1" applyAlignment="1" applyProtection="1">
      <alignment horizontal="left"/>
      <protection hidden="1"/>
    </xf>
    <xf numFmtId="0" fontId="50" fillId="0" borderId="0" xfId="0" applyFont="1" applyFill="1" applyProtection="1">
      <protection hidden="1"/>
    </xf>
    <xf numFmtId="0" fontId="50" fillId="17" borderId="0" xfId="0" applyFont="1" applyFill="1" applyAlignment="1" applyProtection="1">
      <alignment horizontal="left"/>
      <protection hidden="1"/>
    </xf>
    <xf numFmtId="0" fontId="50" fillId="0" borderId="0" xfId="0" applyFont="1" applyAlignment="1" applyProtection="1">
      <protection hidden="1"/>
    </xf>
    <xf numFmtId="0" fontId="57" fillId="0" borderId="0" xfId="0" applyFont="1" applyFill="1" applyProtection="1">
      <protection hidden="1"/>
    </xf>
    <xf numFmtId="3" fontId="57" fillId="0" borderId="0" xfId="0" applyNumberFormat="1" applyFont="1" applyFill="1" applyAlignment="1" applyProtection="1">
      <protection hidden="1"/>
    </xf>
    <xf numFmtId="3" fontId="50" fillId="0" borderId="0" xfId="0" applyNumberFormat="1" applyFont="1" applyAlignment="1" applyProtection="1">
      <protection hidden="1"/>
    </xf>
    <xf numFmtId="167" fontId="57" fillId="0" borderId="0" xfId="1" applyNumberFormat="1" applyFont="1" applyFill="1" applyProtection="1">
      <protection hidden="1"/>
    </xf>
    <xf numFmtId="9" fontId="50" fillId="0" borderId="0" xfId="1" applyFont="1" applyProtection="1">
      <protection hidden="1"/>
    </xf>
    <xf numFmtId="167" fontId="57" fillId="0" borderId="0" xfId="1" applyNumberFormat="1" applyFont="1" applyFill="1" applyAlignment="1" applyProtection="1">
      <protection hidden="1"/>
    </xf>
    <xf numFmtId="0" fontId="52" fillId="2" borderId="0" xfId="0" applyFont="1" applyFill="1" applyProtection="1">
      <protection hidden="1"/>
    </xf>
    <xf numFmtId="0" fontId="57" fillId="0" borderId="0" xfId="0" applyFont="1" applyProtection="1">
      <protection hidden="1"/>
    </xf>
    <xf numFmtId="0" fontId="51" fillId="0" borderId="0" xfId="0" applyFont="1" applyFill="1" applyBorder="1" applyAlignment="1" applyProtection="1">
      <alignment horizontal="right" vertical="center" wrapText="1"/>
      <protection hidden="1"/>
    </xf>
    <xf numFmtId="0" fontId="51" fillId="0" borderId="0" xfId="0" applyFont="1" applyFill="1" applyBorder="1" applyAlignment="1" applyProtection="1">
      <alignment horizontal="right" vertical="center"/>
      <protection hidden="1"/>
    </xf>
    <xf numFmtId="0" fontId="51" fillId="2" borderId="0" xfId="0" applyFont="1" applyFill="1" applyAlignment="1" applyProtection="1">
      <alignment vertical="center"/>
      <protection hidden="1"/>
    </xf>
    <xf numFmtId="0" fontId="51" fillId="2" borderId="0" xfId="0" applyFont="1" applyFill="1" applyAlignment="1" applyProtection="1">
      <protection hidden="1"/>
    </xf>
    <xf numFmtId="0" fontId="51" fillId="2" borderId="0" xfId="0" applyFont="1" applyFill="1" applyAlignment="1" applyProtection="1">
      <alignment horizontal="center" vertical="center"/>
      <protection hidden="1"/>
    </xf>
    <xf numFmtId="0" fontId="51" fillId="2" borderId="0" xfId="0" applyFont="1" applyFill="1" applyAlignment="1" applyProtection="1">
      <alignment horizontal="center" vertical="center" wrapText="1"/>
      <protection hidden="1"/>
    </xf>
    <xf numFmtId="0" fontId="51" fillId="2" borderId="0" xfId="0" applyFont="1" applyFill="1" applyBorder="1" applyAlignment="1" applyProtection="1">
      <alignment horizontal="center" vertical="center"/>
      <protection hidden="1"/>
    </xf>
    <xf numFmtId="0" fontId="63" fillId="0" borderId="0" xfId="0" applyFont="1" applyAlignment="1" applyProtection="1">
      <alignment horizontal="left" vertical="center"/>
      <protection hidden="1"/>
    </xf>
    <xf numFmtId="0" fontId="50"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121" fillId="0" borderId="0" xfId="12" applyFont="1" applyProtection="1">
      <protection hidden="1"/>
    </xf>
    <xf numFmtId="0" fontId="86" fillId="0" borderId="0" xfId="12" applyFont="1" applyProtection="1">
      <protection hidden="1"/>
    </xf>
    <xf numFmtId="0" fontId="77" fillId="0" borderId="0" xfId="0" applyFont="1" applyProtection="1">
      <protection hidden="1"/>
    </xf>
    <xf numFmtId="0" fontId="60" fillId="0" borderId="0" xfId="0" applyFont="1" applyFill="1" applyBorder="1" applyAlignment="1" applyProtection="1">
      <alignment horizontal="left"/>
      <protection hidden="1"/>
    </xf>
    <xf numFmtId="0" fontId="28" fillId="0" borderId="0" xfId="0" applyNumberFormat="1" applyFont="1" applyBorder="1" applyAlignment="1" applyProtection="1">
      <alignment horizontal="center" vertical="center"/>
      <protection hidden="1"/>
    </xf>
    <xf numFmtId="0" fontId="0" fillId="0" borderId="47" xfId="0" applyBorder="1" applyProtection="1">
      <protection hidden="1"/>
    </xf>
    <xf numFmtId="0" fontId="54" fillId="0" borderId="53" xfId="0" applyFont="1" applyBorder="1" applyProtection="1">
      <protection hidden="1"/>
    </xf>
    <xf numFmtId="0" fontId="54" fillId="0" borderId="48" xfId="0" applyFont="1" applyBorder="1" applyProtection="1">
      <protection hidden="1"/>
    </xf>
    <xf numFmtId="0" fontId="0" fillId="0" borderId="49" xfId="0" applyBorder="1" applyProtection="1">
      <protection hidden="1"/>
    </xf>
    <xf numFmtId="0" fontId="54" fillId="0" borderId="54" xfId="0" applyFont="1" applyBorder="1" applyProtection="1">
      <protection hidden="1"/>
    </xf>
    <xf numFmtId="0" fontId="54" fillId="0" borderId="50" xfId="0" applyFont="1" applyBorder="1" applyProtection="1">
      <protection hidden="1"/>
    </xf>
    <xf numFmtId="0" fontId="61" fillId="0" borderId="49" xfId="0" applyFont="1" applyFill="1" applyBorder="1" applyProtection="1">
      <protection hidden="1"/>
    </xf>
    <xf numFmtId="0" fontId="61" fillId="0" borderId="50" xfId="0" quotePrefix="1" applyFont="1" applyFill="1" applyBorder="1" applyAlignment="1" applyProtection="1">
      <alignment horizontal="right"/>
      <protection hidden="1"/>
    </xf>
    <xf numFmtId="0" fontId="61" fillId="0" borderId="21" xfId="0" applyFont="1" applyFill="1" applyBorder="1" applyProtection="1">
      <protection hidden="1"/>
    </xf>
    <xf numFmtId="0" fontId="61" fillId="0" borderId="23" xfId="0" applyFont="1" applyFill="1" applyBorder="1" applyAlignment="1" applyProtection="1">
      <alignment horizontal="right"/>
      <protection hidden="1"/>
    </xf>
    <xf numFmtId="0" fontId="61" fillId="0" borderId="23" xfId="0" quotePrefix="1" applyFont="1" applyFill="1" applyBorder="1" applyAlignment="1" applyProtection="1">
      <alignment horizontal="right"/>
      <protection hidden="1"/>
    </xf>
    <xf numFmtId="0" fontId="63" fillId="0" borderId="0" xfId="0" applyFont="1" applyFill="1" applyAlignment="1" applyProtection="1">
      <alignment horizontal="center"/>
      <protection hidden="1"/>
    </xf>
    <xf numFmtId="0" fontId="122" fillId="0" borderId="0" xfId="0" applyFont="1" applyProtection="1">
      <protection hidden="1"/>
    </xf>
    <xf numFmtId="167" fontId="54" fillId="0" borderId="0" xfId="1" applyNumberFormat="1" applyFont="1" applyAlignment="1" applyProtection="1">
      <protection hidden="1"/>
    </xf>
    <xf numFmtId="0" fontId="55" fillId="0" borderId="0" xfId="0" applyFont="1" applyAlignment="1" applyProtection="1">
      <alignment vertical="top"/>
      <protection hidden="1"/>
    </xf>
    <xf numFmtId="0" fontId="54" fillId="22" borderId="0" xfId="0" applyFont="1" applyFill="1" applyProtection="1">
      <protection hidden="1"/>
    </xf>
    <xf numFmtId="0" fontId="87" fillId="0" borderId="0" xfId="0" applyFont="1" applyProtection="1">
      <protection hidden="1"/>
    </xf>
    <xf numFmtId="0" fontId="85" fillId="0" borderId="0" xfId="0" applyFont="1" applyProtection="1">
      <protection hidden="1"/>
    </xf>
    <xf numFmtId="0" fontId="63" fillId="0" borderId="0" xfId="0" applyFont="1" applyProtection="1">
      <protection hidden="1"/>
    </xf>
    <xf numFmtId="0" fontId="44" fillId="0" borderId="0" xfId="0" applyFont="1" applyFill="1" applyBorder="1" applyAlignment="1" applyProtection="1">
      <protection hidden="1"/>
    </xf>
    <xf numFmtId="0" fontId="44" fillId="0" borderId="0" xfId="0" applyFont="1" applyFill="1" applyProtection="1">
      <protection hidden="1"/>
    </xf>
    <xf numFmtId="9" fontId="58" fillId="22" borderId="0" xfId="1" applyNumberFormat="1" applyFont="1" applyFill="1" applyAlignment="1" applyProtection="1">
      <alignment vertical="top"/>
      <protection hidden="1"/>
    </xf>
    <xf numFmtId="0" fontId="0" fillId="0" borderId="0" xfId="0" applyFill="1" applyProtection="1">
      <protection hidden="1"/>
    </xf>
    <xf numFmtId="0" fontId="0" fillId="0" borderId="0" xfId="0" applyFill="1" applyBorder="1" applyAlignment="1" applyProtection="1">
      <protection hidden="1"/>
    </xf>
    <xf numFmtId="9" fontId="58" fillId="22" borderId="0" xfId="1" applyNumberFormat="1" applyFont="1" applyFill="1" applyAlignment="1" applyProtection="1">
      <protection hidden="1"/>
    </xf>
    <xf numFmtId="167" fontId="58" fillId="22" borderId="0" xfId="1" applyNumberFormat="1" applyFont="1" applyFill="1" applyAlignment="1" applyProtection="1">
      <alignment vertical="top"/>
      <protection hidden="1"/>
    </xf>
    <xf numFmtId="167" fontId="58" fillId="22" borderId="0" xfId="1" applyNumberFormat="1" applyFont="1" applyFill="1" applyAlignment="1" applyProtection="1">
      <protection hidden="1"/>
    </xf>
    <xf numFmtId="0" fontId="121" fillId="0" borderId="0" xfId="12" applyFont="1" applyAlignment="1" applyProtection="1">
      <alignment horizontal="left" vertical="center"/>
      <protection hidden="1"/>
    </xf>
    <xf numFmtId="0" fontId="28" fillId="0" borderId="0" xfId="0" applyFont="1" applyAlignment="1" applyProtection="1">
      <protection hidden="1"/>
    </xf>
    <xf numFmtId="0" fontId="5" fillId="0" borderId="0" xfId="0" applyFont="1" applyProtection="1">
      <protection hidden="1"/>
    </xf>
    <xf numFmtId="0" fontId="54" fillId="0" borderId="20" xfId="0" applyFont="1" applyBorder="1" applyProtection="1">
      <protection hidden="1"/>
    </xf>
    <xf numFmtId="0" fontId="54" fillId="0" borderId="21" xfId="0" applyFont="1" applyBorder="1" applyProtection="1">
      <protection hidden="1"/>
    </xf>
    <xf numFmtId="0" fontId="54" fillId="0" borderId="22" xfId="0" applyFont="1" applyBorder="1" applyProtection="1">
      <protection hidden="1"/>
    </xf>
    <xf numFmtId="0" fontId="54" fillId="0" borderId="23" xfId="0" applyFont="1" applyBorder="1" applyProtection="1">
      <protection hidden="1"/>
    </xf>
    <xf numFmtId="0" fontId="54" fillId="0" borderId="20" xfId="0" applyFont="1" applyBorder="1" applyAlignment="1" applyProtection="1">
      <alignment horizontal="center"/>
      <protection hidden="1"/>
    </xf>
    <xf numFmtId="0" fontId="75" fillId="0" borderId="68" xfId="0" applyFont="1" applyFill="1" applyBorder="1" applyAlignment="1" applyProtection="1">
      <alignment horizontal="left"/>
      <protection hidden="1"/>
    </xf>
    <xf numFmtId="0" fontId="75" fillId="0" borderId="69" xfId="0" applyFont="1" applyFill="1" applyBorder="1" applyAlignment="1" applyProtection="1">
      <alignment horizontal="left"/>
      <protection hidden="1"/>
    </xf>
    <xf numFmtId="0" fontId="75" fillId="0" borderId="70" xfId="0" applyFont="1" applyFill="1" applyBorder="1" applyAlignment="1" applyProtection="1">
      <alignment horizontal="left"/>
      <protection hidden="1"/>
    </xf>
    <xf numFmtId="0" fontId="0" fillId="0" borderId="0" xfId="0" applyFont="1" applyProtection="1">
      <protection hidden="1"/>
    </xf>
    <xf numFmtId="0" fontId="0" fillId="0" borderId="26" xfId="0" applyBorder="1" applyProtection="1">
      <protection hidden="1"/>
    </xf>
    <xf numFmtId="0" fontId="0" fillId="0" borderId="27" xfId="0" applyBorder="1" applyProtection="1">
      <protection hidden="1"/>
    </xf>
    <xf numFmtId="0" fontId="0" fillId="0" borderId="28" xfId="0" applyBorder="1" applyProtection="1">
      <protection hidden="1"/>
    </xf>
    <xf numFmtId="0" fontId="0" fillId="2" borderId="29" xfId="0" applyFont="1" applyFill="1" applyBorder="1" applyProtection="1">
      <protection hidden="1"/>
    </xf>
    <xf numFmtId="0" fontId="0" fillId="2" borderId="0" xfId="0" applyFont="1" applyFill="1" applyBorder="1" applyProtection="1">
      <protection hidden="1"/>
    </xf>
    <xf numFmtId="0" fontId="65" fillId="2" borderId="0" xfId="0" applyFont="1" applyFill="1" applyBorder="1" applyProtection="1">
      <protection hidden="1"/>
    </xf>
    <xf numFmtId="0" fontId="0" fillId="0" borderId="0" xfId="0" applyFont="1" applyBorder="1" applyProtection="1">
      <protection hidden="1"/>
    </xf>
    <xf numFmtId="0" fontId="0" fillId="0" borderId="30" xfId="0" applyFont="1" applyBorder="1" applyProtection="1">
      <protection hidden="1"/>
    </xf>
    <xf numFmtId="0" fontId="0" fillId="0" borderId="29" xfId="0" applyFont="1" applyBorder="1" applyProtection="1">
      <protection hidden="1"/>
    </xf>
    <xf numFmtId="0" fontId="0" fillId="0" borderId="31" xfId="0" applyBorder="1" applyProtection="1">
      <protection hidden="1"/>
    </xf>
    <xf numFmtId="0" fontId="0" fillId="0" borderId="32" xfId="0" applyBorder="1" applyProtection="1">
      <protection hidden="1"/>
    </xf>
    <xf numFmtId="0" fontId="0" fillId="0" borderId="33" xfId="0" applyBorder="1" applyProtection="1">
      <protection hidden="1"/>
    </xf>
    <xf numFmtId="0" fontId="54" fillId="5" borderId="20" xfId="0" applyFont="1" applyFill="1" applyBorder="1" applyAlignment="1" applyProtection="1">
      <alignment horizontal="center" vertical="center" wrapText="1"/>
      <protection hidden="1"/>
    </xf>
    <xf numFmtId="9" fontId="54" fillId="22" borderId="58" xfId="0" applyNumberFormat="1" applyFont="1" applyFill="1" applyBorder="1" applyAlignment="1" applyProtection="1">
      <alignment vertical="center"/>
      <protection hidden="1"/>
    </xf>
    <xf numFmtId="9" fontId="54" fillId="22" borderId="34" xfId="0" applyNumberFormat="1" applyFont="1" applyFill="1" applyBorder="1" applyAlignment="1" applyProtection="1">
      <alignment vertical="center"/>
      <protection hidden="1"/>
    </xf>
    <xf numFmtId="0" fontId="54" fillId="17" borderId="20" xfId="0" applyFont="1" applyFill="1" applyBorder="1" applyAlignment="1" applyProtection="1">
      <alignment horizontal="center" vertical="center" wrapText="1"/>
      <protection hidden="1"/>
    </xf>
    <xf numFmtId="9" fontId="54" fillId="22" borderId="58" xfId="0" applyNumberFormat="1" applyFont="1" applyFill="1" applyBorder="1" applyAlignment="1" applyProtection="1">
      <alignment horizontal="center" vertical="center"/>
      <protection hidden="1"/>
    </xf>
    <xf numFmtId="9" fontId="54" fillId="22" borderId="34" xfId="0" applyNumberFormat="1" applyFont="1" applyFill="1" applyBorder="1" applyAlignment="1" applyProtection="1">
      <alignment horizontal="center" vertical="center"/>
      <protection hidden="1"/>
    </xf>
    <xf numFmtId="9" fontId="54" fillId="22" borderId="58" xfId="1" applyFont="1" applyFill="1" applyBorder="1" applyAlignment="1" applyProtection="1">
      <alignment vertical="center"/>
      <protection hidden="1"/>
    </xf>
    <xf numFmtId="9" fontId="54" fillId="22" borderId="34" xfId="1" applyFont="1" applyFill="1" applyBorder="1" applyAlignment="1" applyProtection="1">
      <alignment vertical="center"/>
      <protection hidden="1"/>
    </xf>
    <xf numFmtId="0" fontId="54" fillId="0" borderId="0" xfId="0" applyFont="1" applyAlignment="1" applyProtection="1">
      <protection hidden="1"/>
    </xf>
    <xf numFmtId="0" fontId="54" fillId="0" borderId="0" xfId="0" applyFont="1" applyAlignment="1" applyProtection="1">
      <alignment vertical="center" wrapText="1"/>
      <protection hidden="1"/>
    </xf>
    <xf numFmtId="3" fontId="54" fillId="0" borderId="0" xfId="0" applyNumberFormat="1" applyFont="1" applyAlignment="1" applyProtection="1">
      <protection hidden="1"/>
    </xf>
    <xf numFmtId="0" fontId="0" fillId="0" borderId="0" xfId="0" applyBorder="1" applyProtection="1">
      <protection hidden="1"/>
    </xf>
    <xf numFmtId="0" fontId="61" fillId="0" borderId="21" xfId="0" applyFont="1" applyBorder="1" applyAlignment="1" applyProtection="1">
      <protection hidden="1"/>
    </xf>
    <xf numFmtId="0" fontId="61" fillId="0" borderId="22" xfId="0" applyFont="1" applyBorder="1" applyProtection="1">
      <protection hidden="1"/>
    </xf>
    <xf numFmtId="0" fontId="44" fillId="0" borderId="0" xfId="0" applyFont="1" applyAlignment="1" applyProtection="1">
      <protection hidden="1"/>
    </xf>
    <xf numFmtId="0" fontId="54" fillId="0" borderId="0" xfId="0" applyFont="1" applyAlignment="1" applyProtection="1">
      <alignment vertical="center"/>
      <protection hidden="1"/>
    </xf>
    <xf numFmtId="3" fontId="54" fillId="0" borderId="22" xfId="0" applyNumberFormat="1" applyFont="1" applyBorder="1" applyAlignment="1" applyProtection="1">
      <protection hidden="1"/>
    </xf>
    <xf numFmtId="0" fontId="55" fillId="0" borderId="53" xfId="0" applyFont="1" applyFill="1" applyBorder="1" applyAlignment="1" applyProtection="1">
      <alignment vertical="top"/>
      <protection hidden="1"/>
    </xf>
    <xf numFmtId="0" fontId="54" fillId="0" borderId="0" xfId="0" applyFont="1" applyFill="1" applyBorder="1" applyProtection="1">
      <protection hidden="1"/>
    </xf>
    <xf numFmtId="3" fontId="54" fillId="0" borderId="0" xfId="0" applyNumberFormat="1" applyFont="1" applyFill="1" applyBorder="1" applyAlignment="1" applyProtection="1">
      <alignment horizontal="right"/>
      <protection hidden="1"/>
    </xf>
    <xf numFmtId="167" fontId="54" fillId="0" borderId="0" xfId="1" applyNumberFormat="1" applyFont="1" applyFill="1" applyBorder="1" applyAlignment="1" applyProtection="1">
      <alignment horizontal="center"/>
      <protection hidden="1"/>
    </xf>
    <xf numFmtId="9" fontId="54" fillId="0" borderId="0" xfId="1" applyFont="1" applyFill="1" applyBorder="1" applyAlignment="1" applyProtection="1">
      <alignment horizontal="center"/>
      <protection hidden="1"/>
    </xf>
    <xf numFmtId="3" fontId="44" fillId="0" borderId="0" xfId="0" applyNumberFormat="1" applyFont="1" applyAlignment="1" applyProtection="1">
      <protection hidden="1"/>
    </xf>
    <xf numFmtId="164" fontId="44" fillId="0" borderId="0" xfId="0" applyNumberFormat="1" applyFont="1" applyAlignment="1" applyProtection="1">
      <protection hidden="1"/>
    </xf>
    <xf numFmtId="0" fontId="50" fillId="2" borderId="0" xfId="0" applyFont="1" applyFill="1" applyAlignment="1" applyProtection="1">
      <protection hidden="1"/>
    </xf>
    <xf numFmtId="0" fontId="63" fillId="0" borderId="21" xfId="0" applyFont="1" applyBorder="1" applyAlignment="1" applyProtection="1">
      <alignment vertical="center"/>
      <protection hidden="1"/>
    </xf>
    <xf numFmtId="9" fontId="54" fillId="22" borderId="22" xfId="1" applyFont="1" applyFill="1" applyBorder="1" applyAlignment="1" applyProtection="1">
      <protection hidden="1"/>
    </xf>
    <xf numFmtId="0" fontId="54" fillId="0" borderId="23" xfId="0" applyFont="1" applyBorder="1" applyAlignment="1" applyProtection="1">
      <protection hidden="1"/>
    </xf>
    <xf numFmtId="0" fontId="63" fillId="0" borderId="64" xfId="0" applyFont="1" applyBorder="1" applyAlignment="1" applyProtection="1">
      <alignment vertical="center"/>
      <protection hidden="1"/>
    </xf>
    <xf numFmtId="9" fontId="54" fillId="22" borderId="66" xfId="1" applyFont="1" applyFill="1" applyBorder="1" applyAlignment="1" applyProtection="1">
      <protection hidden="1"/>
    </xf>
    <xf numFmtId="0" fontId="54" fillId="0" borderId="65" xfId="0" applyFont="1" applyBorder="1" applyAlignment="1" applyProtection="1">
      <protection hidden="1"/>
    </xf>
    <xf numFmtId="0" fontId="54" fillId="0" borderId="64" xfId="0" applyFont="1" applyBorder="1" applyProtection="1">
      <protection hidden="1"/>
    </xf>
    <xf numFmtId="9" fontId="54" fillId="22" borderId="66" xfId="1" applyFont="1" applyFill="1" applyBorder="1" applyProtection="1">
      <protection hidden="1"/>
    </xf>
    <xf numFmtId="0" fontId="54" fillId="0" borderId="65" xfId="0" applyFont="1" applyBorder="1" applyProtection="1">
      <protection hidden="1"/>
    </xf>
    <xf numFmtId="0" fontId="54" fillId="0" borderId="49" xfId="0" applyFont="1" applyBorder="1" applyProtection="1">
      <protection hidden="1"/>
    </xf>
    <xf numFmtId="9" fontId="54" fillId="22" borderId="22" xfId="1" applyFont="1" applyFill="1" applyBorder="1" applyProtection="1">
      <protection hidden="1"/>
    </xf>
    <xf numFmtId="0" fontId="48" fillId="0" borderId="0" xfId="0" applyFont="1" applyBorder="1" applyProtection="1">
      <protection hidden="1"/>
    </xf>
    <xf numFmtId="0" fontId="54" fillId="0" borderId="0" xfId="0" applyFont="1" applyBorder="1" applyProtection="1">
      <protection hidden="1"/>
    </xf>
    <xf numFmtId="3" fontId="48" fillId="0" borderId="0" xfId="1" applyNumberFormat="1" applyFont="1" applyBorder="1" applyAlignment="1" applyProtection="1">
      <protection hidden="1"/>
    </xf>
    <xf numFmtId="3" fontId="48" fillId="0" borderId="0" xfId="1" applyNumberFormat="1" applyFont="1" applyBorder="1" applyProtection="1">
      <protection hidden="1"/>
    </xf>
    <xf numFmtId="0" fontId="44" fillId="0" borderId="0" xfId="0" applyFont="1" applyBorder="1" applyProtection="1">
      <protection hidden="1"/>
    </xf>
    <xf numFmtId="0" fontId="75" fillId="0" borderId="0" xfId="0" applyFont="1" applyFill="1" applyBorder="1" applyAlignment="1" applyProtection="1">
      <alignment horizontal="center"/>
      <protection hidden="1"/>
    </xf>
    <xf numFmtId="0" fontId="66" fillId="0" borderId="0" xfId="0" applyFont="1" applyFill="1" applyProtection="1">
      <protection hidden="1"/>
    </xf>
    <xf numFmtId="0" fontId="54" fillId="0" borderId="0" xfId="0" applyFont="1" applyAlignment="1" applyProtection="1">
      <alignment horizontal="center" vertical="center" wrapText="1"/>
      <protection hidden="1"/>
    </xf>
    <xf numFmtId="0" fontId="54" fillId="5" borderId="35" xfId="0" applyFont="1" applyFill="1" applyBorder="1" applyAlignment="1" applyProtection="1">
      <protection hidden="1"/>
    </xf>
    <xf numFmtId="0" fontId="54" fillId="5" borderId="38" xfId="0" applyFont="1" applyFill="1" applyBorder="1" applyAlignment="1" applyProtection="1">
      <protection hidden="1"/>
    </xf>
    <xf numFmtId="0" fontId="54" fillId="5" borderId="36" xfId="0" applyFont="1" applyFill="1" applyBorder="1" applyAlignment="1" applyProtection="1">
      <protection hidden="1"/>
    </xf>
    <xf numFmtId="0" fontId="54" fillId="17" borderId="35" xfId="0" applyFont="1" applyFill="1" applyBorder="1" applyProtection="1">
      <protection hidden="1"/>
    </xf>
    <xf numFmtId="0" fontId="54" fillId="17" borderId="38" xfId="0" applyFont="1" applyFill="1" applyBorder="1" applyProtection="1">
      <protection hidden="1"/>
    </xf>
    <xf numFmtId="0" fontId="54" fillId="17" borderId="36" xfId="0" applyFont="1" applyFill="1" applyBorder="1" applyProtection="1">
      <protection hidden="1"/>
    </xf>
    <xf numFmtId="0" fontId="75" fillId="0" borderId="0" xfId="0" applyFont="1" applyProtection="1">
      <protection hidden="1"/>
    </xf>
    <xf numFmtId="0" fontId="54" fillId="0" borderId="0" xfId="0" applyFont="1" applyAlignment="1" applyProtection="1">
      <alignment wrapText="1"/>
      <protection hidden="1"/>
    </xf>
    <xf numFmtId="0" fontId="66" fillId="0" borderId="0" xfId="0" applyFont="1" applyBorder="1" applyProtection="1">
      <protection hidden="1"/>
    </xf>
    <xf numFmtId="0" fontId="58" fillId="0" borderId="0" xfId="0" applyFont="1" applyAlignment="1" applyProtection="1">
      <alignment wrapText="1"/>
      <protection hidden="1"/>
    </xf>
    <xf numFmtId="0" fontId="73" fillId="0" borderId="0" xfId="0" applyFont="1" applyProtection="1">
      <protection hidden="1"/>
    </xf>
    <xf numFmtId="0" fontId="74" fillId="0" borderId="0" xfId="0" applyFont="1" applyBorder="1" applyAlignment="1" applyProtection="1">
      <alignment horizontal="right"/>
      <protection hidden="1"/>
    </xf>
    <xf numFmtId="3" fontId="48" fillId="0" borderId="0" xfId="0" applyNumberFormat="1" applyFont="1" applyBorder="1" applyAlignment="1" applyProtection="1">
      <protection hidden="1"/>
    </xf>
    <xf numFmtId="3" fontId="5" fillId="0" borderId="0" xfId="0" applyNumberFormat="1" applyFont="1" applyAlignment="1" applyProtection="1">
      <protection hidden="1"/>
    </xf>
    <xf numFmtId="3" fontId="61" fillId="0" borderId="0" xfId="0" applyNumberFormat="1" applyFont="1" applyBorder="1" applyAlignment="1" applyProtection="1">
      <protection hidden="1"/>
    </xf>
    <xf numFmtId="0" fontId="66" fillId="0" borderId="0" xfId="0" applyFont="1" applyProtection="1">
      <protection locked="0"/>
    </xf>
    <xf numFmtId="0" fontId="66" fillId="2" borderId="0" xfId="0" applyFont="1" applyFill="1" applyProtection="1">
      <protection locked="0"/>
    </xf>
    <xf numFmtId="0" fontId="50" fillId="0" borderId="0" xfId="0" applyFont="1" applyProtection="1">
      <protection locked="0"/>
    </xf>
    <xf numFmtId="0" fontId="50" fillId="2" borderId="0" xfId="0" applyFont="1" applyFill="1" applyProtection="1">
      <protection locked="0"/>
    </xf>
    <xf numFmtId="0" fontId="100" fillId="0" borderId="0" xfId="0" applyFont="1" applyBorder="1" applyAlignment="1" applyProtection="1">
      <alignment horizontal="left"/>
      <protection locked="0"/>
    </xf>
    <xf numFmtId="0" fontId="54" fillId="0" borderId="0" xfId="0" applyFont="1" applyProtection="1">
      <protection locked="0"/>
    </xf>
    <xf numFmtId="0" fontId="54" fillId="2" borderId="0" xfId="0" applyFont="1" applyFill="1" applyProtection="1">
      <protection locked="0"/>
    </xf>
    <xf numFmtId="0" fontId="122" fillId="0" borderId="0" xfId="0" applyFont="1" applyProtection="1">
      <protection locked="0"/>
    </xf>
    <xf numFmtId="0" fontId="0" fillId="0" borderId="0" xfId="0" applyProtection="1">
      <protection locked="0"/>
    </xf>
    <xf numFmtId="0" fontId="76" fillId="0" borderId="0" xfId="0" applyFont="1" applyProtection="1">
      <protection hidden="1"/>
    </xf>
    <xf numFmtId="9" fontId="48" fillId="0" borderId="0" xfId="1" applyNumberFormat="1" applyFont="1" applyProtection="1">
      <protection hidden="1"/>
    </xf>
    <xf numFmtId="0" fontId="54" fillId="0" borderId="0" xfId="0" applyFont="1" applyFill="1" applyProtection="1">
      <protection hidden="1"/>
    </xf>
    <xf numFmtId="0" fontId="76" fillId="0" borderId="0" xfId="0" applyFont="1" applyProtection="1">
      <protection locked="0"/>
    </xf>
    <xf numFmtId="0" fontId="54" fillId="0" borderId="0" xfId="0" applyFont="1" applyBorder="1" applyAlignment="1" applyProtection="1">
      <alignment vertical="center" wrapText="1"/>
      <protection hidden="1"/>
    </xf>
    <xf numFmtId="0" fontId="88" fillId="0" borderId="21" xfId="0" applyFont="1" applyBorder="1" applyAlignment="1" applyProtection="1">
      <protection hidden="1"/>
    </xf>
    <xf numFmtId="0" fontId="0" fillId="0" borderId="22" xfId="0" applyBorder="1" applyProtection="1">
      <protection hidden="1"/>
    </xf>
    <xf numFmtId="0" fontId="50" fillId="0" borderId="0" xfId="0" applyFont="1" applyAlignment="1" applyProtection="1">
      <alignment vertical="center"/>
      <protection hidden="1"/>
    </xf>
    <xf numFmtId="0" fontId="52" fillId="0" borderId="26" xfId="0" applyFont="1" applyBorder="1" applyAlignment="1" applyProtection="1">
      <alignment horizontal="center"/>
      <protection hidden="1"/>
    </xf>
    <xf numFmtId="0" fontId="50" fillId="0" borderId="27" xfId="0" applyFont="1" applyBorder="1" applyAlignment="1" applyProtection="1">
      <alignment horizontal="center"/>
      <protection hidden="1"/>
    </xf>
    <xf numFmtId="0" fontId="50" fillId="0" borderId="28" xfId="0" applyFont="1" applyBorder="1" applyAlignment="1" applyProtection="1">
      <alignment horizontal="center"/>
      <protection hidden="1"/>
    </xf>
    <xf numFmtId="0" fontId="123" fillId="0" borderId="0" xfId="0" applyFont="1" applyProtection="1">
      <protection hidden="1"/>
    </xf>
    <xf numFmtId="0" fontId="53" fillId="0" borderId="0" xfId="0" applyFont="1" applyAlignment="1" applyProtection="1">
      <protection hidden="1"/>
    </xf>
    <xf numFmtId="0" fontId="75" fillId="0" borderId="0" xfId="0" applyFont="1" applyAlignment="1" applyProtection="1">
      <protection hidden="1"/>
    </xf>
    <xf numFmtId="0" fontId="75" fillId="0" borderId="0" xfId="0" applyFont="1" applyAlignment="1" applyProtection="1">
      <alignment horizontal="left"/>
      <protection hidden="1"/>
    </xf>
    <xf numFmtId="0" fontId="126" fillId="0" borderId="0" xfId="0" applyFont="1" applyBorder="1" applyAlignment="1" applyProtection="1">
      <alignment horizontal="left"/>
      <protection locked="0"/>
    </xf>
    <xf numFmtId="0" fontId="53" fillId="0" borderId="0" xfId="0" applyFont="1" applyProtection="1">
      <protection locked="0"/>
    </xf>
    <xf numFmtId="0" fontId="53" fillId="2" borderId="0" xfId="0" applyFont="1" applyFill="1"/>
    <xf numFmtId="0" fontId="53" fillId="0" borderId="0" xfId="0" applyFont="1"/>
    <xf numFmtId="0" fontId="9" fillId="0" borderId="0" xfId="0" applyNumberFormat="1" applyFont="1" applyBorder="1" applyAlignment="1" applyProtection="1">
      <alignment horizontal="center" vertical="center"/>
      <protection hidden="1"/>
    </xf>
    <xf numFmtId="0" fontId="9" fillId="0" borderId="0" xfId="0" applyNumberFormat="1" applyFont="1" applyBorder="1" applyAlignment="1">
      <alignment horizontal="center" vertical="center"/>
    </xf>
    <xf numFmtId="0" fontId="3" fillId="0" borderId="0" xfId="0" applyFont="1" applyFill="1" applyAlignment="1" applyProtection="1">
      <alignment vertical="center"/>
      <protection hidden="1"/>
    </xf>
    <xf numFmtId="0" fontId="102" fillId="0" borderId="0" xfId="0" applyFont="1" applyFill="1" applyAlignment="1" applyProtection="1">
      <alignment vertical="center"/>
      <protection hidden="1"/>
    </xf>
    <xf numFmtId="0" fontId="3" fillId="0" borderId="0" xfId="0" applyFont="1" applyFill="1" applyAlignment="1" applyProtection="1">
      <protection hidden="1"/>
    </xf>
    <xf numFmtId="0" fontId="0" fillId="0" borderId="0" xfId="0" applyProtection="1"/>
    <xf numFmtId="0" fontId="127" fillId="0" borderId="0" xfId="0" applyFont="1" applyProtection="1">
      <protection hidden="1"/>
    </xf>
    <xf numFmtId="0" fontId="21" fillId="0" borderId="0" xfId="0" applyFont="1" applyBorder="1"/>
    <xf numFmtId="0" fontId="49" fillId="0" borderId="0" xfId="12" applyBorder="1"/>
    <xf numFmtId="0" fontId="0" fillId="19" borderId="0" xfId="0" applyFill="1" applyBorder="1"/>
    <xf numFmtId="0" fontId="0" fillId="18" borderId="0" xfId="0" applyFill="1" applyBorder="1"/>
    <xf numFmtId="0" fontId="63" fillId="0" borderId="0" xfId="0" applyFont="1" applyAlignment="1" applyProtection="1">
      <alignment vertical="center"/>
      <protection hidden="1"/>
    </xf>
    <xf numFmtId="0" fontId="128" fillId="0" borderId="0" xfId="0" applyFont="1"/>
    <xf numFmtId="0" fontId="3" fillId="0" borderId="0" xfId="0" applyFont="1" applyFill="1" applyBorder="1" applyAlignment="1">
      <alignment vertical="center"/>
    </xf>
    <xf numFmtId="3" fontId="10" fillId="0" borderId="0" xfId="0" applyNumberFormat="1" applyFont="1" applyAlignment="1"/>
    <xf numFmtId="0" fontId="1" fillId="0" borderId="0" xfId="0" applyFont="1" applyProtection="1">
      <protection hidden="1"/>
    </xf>
    <xf numFmtId="0" fontId="98" fillId="0" borderId="0" xfId="0" applyFont="1" applyProtection="1">
      <protection hidden="1"/>
    </xf>
    <xf numFmtId="0" fontId="33" fillId="0" borderId="0" xfId="1" applyNumberFormat="1" applyFont="1"/>
    <xf numFmtId="0" fontId="10" fillId="0" borderId="0" xfId="0" applyNumberFormat="1" applyFont="1"/>
    <xf numFmtId="0" fontId="21" fillId="0" borderId="0" xfId="0" applyFont="1" applyProtection="1">
      <protection hidden="1"/>
    </xf>
    <xf numFmtId="3" fontId="129" fillId="0" borderId="0" xfId="0" applyNumberFormat="1" applyFont="1" applyAlignment="1">
      <alignment horizontal="center"/>
    </xf>
    <xf numFmtId="3" fontId="129" fillId="0" borderId="0" xfId="0" applyNumberFormat="1" applyFont="1" applyAlignment="1">
      <alignment horizontal="center" wrapText="1"/>
    </xf>
    <xf numFmtId="164" fontId="129" fillId="0" borderId="0" xfId="0" applyNumberFormat="1" applyFont="1"/>
    <xf numFmtId="3" fontId="130" fillId="0" borderId="0" xfId="0" applyNumberFormat="1" applyFont="1"/>
    <xf numFmtId="0" fontId="130" fillId="0" borderId="0" xfId="0" applyNumberFormat="1" applyFont="1" applyBorder="1" applyAlignment="1">
      <alignment horizontal="center" vertical="center" wrapText="1"/>
    </xf>
    <xf numFmtId="164" fontId="130" fillId="0" borderId="0" xfId="0" applyNumberFormat="1" applyFont="1"/>
    <xf numFmtId="3" fontId="49" fillId="15" borderId="0" xfId="12" applyNumberFormat="1" applyFill="1"/>
    <xf numFmtId="0" fontId="49" fillId="19" borderId="0" xfId="12" applyFill="1" applyBorder="1"/>
    <xf numFmtId="0" fontId="49" fillId="18" borderId="0" xfId="12" applyFill="1" applyBorder="1"/>
    <xf numFmtId="3" fontId="0" fillId="0" borderId="0" xfId="0" applyNumberFormat="1" applyFill="1"/>
    <xf numFmtId="3" fontId="0" fillId="38" borderId="0" xfId="0" applyNumberFormat="1" applyFill="1"/>
    <xf numFmtId="3" fontId="0" fillId="0" borderId="0" xfId="1" applyNumberFormat="1" applyFont="1"/>
    <xf numFmtId="0" fontId="34" fillId="0" borderId="0" xfId="0" applyNumberFormat="1" applyFont="1" applyFill="1" applyBorder="1" applyAlignment="1" applyProtection="1">
      <protection locked="0"/>
    </xf>
    <xf numFmtId="173" fontId="34" fillId="0" borderId="0" xfId="0" applyNumberFormat="1" applyFont="1" applyFill="1" applyBorder="1" applyAlignment="1" applyProtection="1">
      <protection locked="0"/>
    </xf>
    <xf numFmtId="3" fontId="0" fillId="0" borderId="0" xfId="0" applyNumberFormat="1" applyFill="1" applyAlignment="1">
      <alignment wrapText="1"/>
    </xf>
    <xf numFmtId="3" fontId="21" fillId="0" borderId="0" xfId="0" applyNumberFormat="1" applyFont="1" applyFill="1"/>
    <xf numFmtId="164" fontId="34" fillId="0" borderId="0" xfId="0" applyNumberFormat="1" applyFont="1" applyFill="1" applyBorder="1"/>
    <xf numFmtId="3" fontId="5" fillId="31" borderId="0" xfId="0" applyNumberFormat="1" applyFont="1" applyFill="1"/>
    <xf numFmtId="1" fontId="0" fillId="0" borderId="0" xfId="0" applyNumberFormat="1" applyAlignment="1">
      <alignment wrapText="1"/>
    </xf>
    <xf numFmtId="1" fontId="0" fillId="31" borderId="0" xfId="0" applyNumberFormat="1" applyFill="1"/>
    <xf numFmtId="3" fontId="10" fillId="31" borderId="0" xfId="0" applyNumberFormat="1" applyFont="1" applyFill="1"/>
    <xf numFmtId="3" fontId="10" fillId="31" borderId="0" xfId="0" applyNumberFormat="1" applyFont="1" applyFill="1" applyAlignment="1">
      <alignment wrapText="1"/>
    </xf>
    <xf numFmtId="3" fontId="1" fillId="0" borderId="0" xfId="0" applyNumberFormat="1" applyFont="1" applyAlignment="1" applyProtection="1">
      <protection hidden="1"/>
    </xf>
    <xf numFmtId="3" fontId="0" fillId="31" borderId="0" xfId="0" applyNumberFormat="1" applyFill="1"/>
    <xf numFmtId="0" fontId="131" fillId="0" borderId="0" xfId="0" applyFont="1" applyProtection="1">
      <protection hidden="1"/>
    </xf>
    <xf numFmtId="3" fontId="21" fillId="0" borderId="0" xfId="0" applyNumberFormat="1" applyFont="1"/>
    <xf numFmtId="3" fontId="46" fillId="0" borderId="0" xfId="0" applyNumberFormat="1" applyFont="1"/>
    <xf numFmtId="3" fontId="132" fillId="0" borderId="0" xfId="0" applyNumberFormat="1" applyFont="1" applyFill="1"/>
    <xf numFmtId="3" fontId="67" fillId="31" borderId="0" xfId="0" applyNumberFormat="1" applyFont="1" applyFill="1"/>
    <xf numFmtId="3" fontId="30" fillId="31" borderId="0" xfId="0" applyNumberFormat="1" applyFont="1" applyFill="1"/>
    <xf numFmtId="3" fontId="71" fillId="31" borderId="0" xfId="0" applyNumberFormat="1" applyFont="1" applyFill="1"/>
    <xf numFmtId="3" fontId="2" fillId="31" borderId="0" xfId="0" applyNumberFormat="1" applyFont="1" applyFill="1"/>
    <xf numFmtId="3" fontId="72" fillId="31" borderId="0" xfId="0" applyNumberFormat="1" applyFont="1" applyFill="1"/>
    <xf numFmtId="0" fontId="133" fillId="0" borderId="0" xfId="0" applyFont="1" applyProtection="1">
      <protection hidden="1"/>
    </xf>
    <xf numFmtId="0" fontId="73" fillId="0" borderId="0" xfId="0" applyFont="1" applyBorder="1" applyProtection="1">
      <protection hidden="1"/>
    </xf>
    <xf numFmtId="3" fontId="9" fillId="31" borderId="0" xfId="0" applyNumberFormat="1" applyFont="1" applyFill="1"/>
    <xf numFmtId="3" fontId="49" fillId="13" borderId="0" xfId="12" applyNumberFormat="1" applyFill="1"/>
    <xf numFmtId="164" fontId="9" fillId="39" borderId="0" xfId="16" applyNumberFormat="1" applyFont="1" applyFill="1" applyBorder="1" applyAlignment="1">
      <alignment horizontal="center"/>
    </xf>
    <xf numFmtId="0" fontId="5" fillId="0" borderId="0" xfId="0" applyFont="1" applyAlignment="1">
      <alignment wrapText="1"/>
    </xf>
    <xf numFmtId="0" fontId="134" fillId="28" borderId="0" xfId="0" applyFont="1" applyFill="1"/>
    <xf numFmtId="3" fontId="0" fillId="31" borderId="0" xfId="0" applyNumberFormat="1" applyFill="1" applyBorder="1"/>
    <xf numFmtId="0" fontId="135" fillId="0" borderId="0" xfId="0" applyFont="1" applyProtection="1">
      <protection hidden="1"/>
    </xf>
    <xf numFmtId="0" fontId="50" fillId="2" borderId="0" xfId="0" applyFont="1" applyFill="1" applyAlignment="1" applyProtection="1">
      <alignment vertical="top" wrapText="1"/>
      <protection hidden="1"/>
    </xf>
    <xf numFmtId="0" fontId="23" fillId="19" borderId="0" xfId="0" quotePrefix="1" applyFont="1" applyFill="1" applyBorder="1"/>
    <xf numFmtId="0" fontId="1" fillId="18" borderId="0" xfId="0" applyFont="1" applyFill="1" applyProtection="1">
      <protection hidden="1"/>
    </xf>
    <xf numFmtId="164" fontId="10" fillId="0" borderId="0" xfId="0" applyNumberFormat="1" applyFont="1" applyAlignment="1"/>
    <xf numFmtId="0" fontId="48" fillId="0" borderId="0" xfId="0" applyFont="1" applyAlignment="1" applyProtection="1">
      <protection hidden="1"/>
    </xf>
    <xf numFmtId="4" fontId="10" fillId="0" borderId="0" xfId="0" applyNumberFormat="1" applyFont="1"/>
    <xf numFmtId="0" fontId="49" fillId="34" borderId="0" xfId="12" applyFill="1"/>
    <xf numFmtId="0" fontId="137" fillId="0" borderId="0" xfId="0" applyFont="1"/>
    <xf numFmtId="0" fontId="137" fillId="0" borderId="0" xfId="0" applyFont="1" applyAlignment="1">
      <alignment wrapText="1"/>
    </xf>
    <xf numFmtId="1" fontId="137" fillId="0" borderId="0" xfId="0" applyNumberFormat="1" applyFont="1"/>
    <xf numFmtId="3" fontId="34" fillId="0" borderId="0" xfId="0" applyNumberFormat="1" applyFont="1"/>
    <xf numFmtId="3" fontId="34" fillId="31" borderId="0" xfId="0" applyNumberFormat="1" applyFont="1" applyFill="1"/>
    <xf numFmtId="3" fontId="35" fillId="0" borderId="0" xfId="0" applyNumberFormat="1" applyFont="1" applyFill="1"/>
    <xf numFmtId="3" fontId="67" fillId="0" borderId="0" xfId="0" applyNumberFormat="1" applyFont="1" applyAlignment="1">
      <alignment horizontal="center"/>
    </xf>
    <xf numFmtId="3" fontId="71" fillId="0" borderId="0" xfId="0" applyNumberFormat="1" applyFont="1" applyAlignment="1">
      <alignment horizontal="center"/>
    </xf>
    <xf numFmtId="3" fontId="72" fillId="0" borderId="0" xfId="0" applyNumberFormat="1" applyFont="1" applyAlignment="1">
      <alignment horizontal="center"/>
    </xf>
    <xf numFmtId="0" fontId="90" fillId="35" borderId="0" xfId="0" applyFont="1" applyFill="1" applyAlignment="1" applyProtection="1">
      <alignment horizontal="right"/>
      <protection hidden="1"/>
    </xf>
    <xf numFmtId="0" fontId="50" fillId="0" borderId="0" xfId="0" applyFont="1" applyAlignment="1" applyProtection="1">
      <alignment horizontal="left" vertical="center" wrapText="1"/>
      <protection hidden="1"/>
    </xf>
    <xf numFmtId="0" fontId="48" fillId="0" borderId="55" xfId="0" applyFont="1" applyFill="1" applyBorder="1" applyAlignment="1" applyProtection="1">
      <protection hidden="1"/>
    </xf>
    <xf numFmtId="0" fontId="54" fillId="0" borderId="0" xfId="0" applyFont="1" applyFill="1" applyAlignment="1" applyProtection="1">
      <alignment vertical="center" wrapText="1"/>
      <protection hidden="1"/>
    </xf>
    <xf numFmtId="0" fontId="49" fillId="0" borderId="0" xfId="12"/>
    <xf numFmtId="0" fontId="90" fillId="35" borderId="0" xfId="0" applyFont="1" applyFill="1" applyAlignment="1" applyProtection="1">
      <alignment horizontal="right"/>
      <protection hidden="1"/>
    </xf>
    <xf numFmtId="0" fontId="50" fillId="2" borderId="0" xfId="0" applyFont="1" applyFill="1" applyAlignment="1" applyProtection="1">
      <alignment horizontal="left" vertical="top" wrapText="1"/>
      <protection hidden="1"/>
    </xf>
    <xf numFmtId="0" fontId="0" fillId="2" borderId="0" xfId="0" applyFill="1" applyBorder="1"/>
    <xf numFmtId="0" fontId="3" fillId="2" borderId="0" xfId="0" applyFont="1" applyFill="1" applyBorder="1" applyAlignment="1">
      <alignment vertical="center"/>
    </xf>
    <xf numFmtId="0" fontId="3" fillId="2" borderId="0" xfId="0" applyFont="1" applyFill="1" applyBorder="1" applyAlignment="1"/>
    <xf numFmtId="0" fontId="49" fillId="31" borderId="0" xfId="12" applyFill="1"/>
    <xf numFmtId="0" fontId="0" fillId="22" borderId="0" xfId="0" applyFill="1" applyAlignment="1">
      <alignment wrapText="1"/>
    </xf>
    <xf numFmtId="1" fontId="0" fillId="22" borderId="0" xfId="0" applyNumberFormat="1" applyFill="1"/>
    <xf numFmtId="0" fontId="0" fillId="30" borderId="0" xfId="0" applyFill="1" applyAlignment="1">
      <alignment wrapText="1"/>
    </xf>
    <xf numFmtId="9" fontId="2" fillId="0" borderId="0" xfId="1" applyFont="1"/>
    <xf numFmtId="3" fontId="30" fillId="0" borderId="0" xfId="0" applyNumberFormat="1" applyFont="1"/>
    <xf numFmtId="9" fontId="9" fillId="0" borderId="0" xfId="1" applyFont="1" applyAlignment="1">
      <alignment horizontal="center"/>
    </xf>
    <xf numFmtId="0" fontId="0" fillId="30" borderId="0" xfId="0" applyFill="1" applyBorder="1"/>
    <xf numFmtId="0" fontId="49" fillId="20" borderId="0" xfId="12" applyFill="1"/>
    <xf numFmtId="167" fontId="10" fillId="0" borderId="0" xfId="0" applyNumberFormat="1" applyFont="1"/>
    <xf numFmtId="167" fontId="27" fillId="0" borderId="0" xfId="0" applyNumberFormat="1" applyFont="1" applyFill="1" applyBorder="1"/>
    <xf numFmtId="0" fontId="0" fillId="30" borderId="0" xfId="0" applyFill="1" applyBorder="1" applyAlignment="1">
      <alignment wrapText="1"/>
    </xf>
    <xf numFmtId="0" fontId="125" fillId="0" borderId="0" xfId="0" applyFont="1"/>
    <xf numFmtId="0" fontId="0" fillId="30" borderId="0" xfId="0" applyFill="1" applyAlignment="1"/>
    <xf numFmtId="3" fontId="0" fillId="30" borderId="0" xfId="0" applyNumberFormat="1" applyFill="1" applyAlignment="1">
      <alignment wrapText="1"/>
    </xf>
    <xf numFmtId="2" fontId="0" fillId="0" borderId="0" xfId="1" applyNumberFormat="1" applyFont="1"/>
    <xf numFmtId="0" fontId="139" fillId="0" borderId="0" xfId="0" applyFont="1" applyAlignment="1">
      <alignment wrapText="1"/>
    </xf>
    <xf numFmtId="0" fontId="139" fillId="0" borderId="0" xfId="0" applyFont="1"/>
    <xf numFmtId="3" fontId="5" fillId="30" borderId="0" xfId="0" applyNumberFormat="1" applyFont="1" applyFill="1"/>
    <xf numFmtId="3" fontId="140" fillId="0" borderId="0" xfId="0" applyNumberFormat="1" applyFont="1"/>
    <xf numFmtId="3" fontId="140" fillId="30" borderId="0" xfId="0" applyNumberFormat="1" applyFont="1" applyFill="1"/>
    <xf numFmtId="0" fontId="42" fillId="30" borderId="0" xfId="0" applyFont="1" applyFill="1" applyAlignment="1">
      <alignment wrapText="1"/>
    </xf>
    <xf numFmtId="0" fontId="42" fillId="30" borderId="0" xfId="0" applyFont="1" applyFill="1"/>
    <xf numFmtId="0" fontId="43" fillId="30" borderId="0" xfId="0" applyFont="1" applyFill="1"/>
    <xf numFmtId="1" fontId="42" fillId="30" borderId="0" xfId="0" applyNumberFormat="1" applyFont="1" applyFill="1"/>
    <xf numFmtId="167" fontId="0" fillId="30" borderId="0" xfId="1" applyNumberFormat="1" applyFont="1" applyFill="1"/>
    <xf numFmtId="1" fontId="0" fillId="30" borderId="0" xfId="0" applyNumberFormat="1" applyFill="1"/>
    <xf numFmtId="0" fontId="0" fillId="30" borderId="0" xfId="0" quotePrefix="1" applyFill="1" applyAlignment="1">
      <alignment horizontal="center"/>
    </xf>
    <xf numFmtId="0" fontId="141" fillId="0" borderId="0" xfId="0" applyFont="1" applyFill="1"/>
    <xf numFmtId="0" fontId="12" fillId="25" borderId="0" xfId="0" applyFont="1" applyFill="1"/>
    <xf numFmtId="3" fontId="142" fillId="10" borderId="0" xfId="0" applyNumberFormat="1" applyFont="1" applyFill="1"/>
    <xf numFmtId="3" fontId="143" fillId="36" borderId="0" xfId="0" applyNumberFormat="1" applyFont="1" applyFill="1"/>
    <xf numFmtId="0" fontId="61" fillId="0" borderId="21" xfId="0" applyFont="1" applyBorder="1" applyAlignment="1" applyProtection="1">
      <alignment horizontal="left"/>
      <protection hidden="1"/>
    </xf>
    <xf numFmtId="0" fontId="61" fillId="0" borderId="23" xfId="0" applyFont="1" applyBorder="1" applyAlignment="1" applyProtection="1">
      <alignment horizontal="left"/>
      <protection hidden="1"/>
    </xf>
    <xf numFmtId="0" fontId="0" fillId="33" borderId="0" xfId="0" applyFill="1" applyAlignment="1">
      <alignment wrapText="1"/>
    </xf>
    <xf numFmtId="3" fontId="0" fillId="33" borderId="0" xfId="0" applyNumberFormat="1" applyFill="1"/>
    <xf numFmtId="1" fontId="0" fillId="33" borderId="0" xfId="1" applyNumberFormat="1" applyFont="1" applyFill="1"/>
    <xf numFmtId="1" fontId="0" fillId="33" borderId="0" xfId="0" applyNumberFormat="1" applyFill="1"/>
    <xf numFmtId="171" fontId="0" fillId="33" borderId="0" xfId="11" applyNumberFormat="1" applyFont="1" applyFill="1" applyBorder="1"/>
    <xf numFmtId="3" fontId="0" fillId="33" borderId="0" xfId="0" applyNumberFormat="1" applyFill="1" applyBorder="1"/>
    <xf numFmtId="167" fontId="0" fillId="33" borderId="0" xfId="1" applyNumberFormat="1" applyFont="1" applyFill="1"/>
    <xf numFmtId="9" fontId="0" fillId="33" borderId="0" xfId="1" applyFont="1" applyFill="1"/>
    <xf numFmtId="0" fontId="0" fillId="33" borderId="0" xfId="0" applyFont="1" applyFill="1"/>
    <xf numFmtId="0" fontId="2" fillId="33" borderId="0" xfId="0" applyFont="1" applyFill="1"/>
    <xf numFmtId="0" fontId="0" fillId="33" borderId="0" xfId="0" applyFill="1" applyAlignment="1">
      <alignment horizontal="center"/>
    </xf>
    <xf numFmtId="3" fontId="0" fillId="33" borderId="0" xfId="0" applyNumberFormat="1" applyFill="1" applyAlignment="1">
      <alignment horizontal="center"/>
    </xf>
    <xf numFmtId="171" fontId="0" fillId="33" borderId="0" xfId="11" applyNumberFormat="1" applyFont="1" applyFill="1"/>
    <xf numFmtId="0" fontId="19" fillId="40" borderId="74" xfId="13" applyFont="1" applyFill="1" applyBorder="1" applyAlignment="1">
      <alignment horizontal="center"/>
    </xf>
    <xf numFmtId="0" fontId="117" fillId="40" borderId="75" xfId="13" applyFont="1" applyFill="1" applyBorder="1" applyAlignment="1">
      <alignment horizontal="center"/>
    </xf>
    <xf numFmtId="1" fontId="1" fillId="0" borderId="0" xfId="0" applyNumberFormat="1" applyFont="1"/>
    <xf numFmtId="0" fontId="118" fillId="2" borderId="0" xfId="0" applyFont="1" applyFill="1" applyAlignment="1" applyProtection="1">
      <alignment vertical="top"/>
      <protection hidden="1"/>
    </xf>
    <xf numFmtId="3" fontId="5" fillId="41" borderId="0" xfId="0" applyNumberFormat="1" applyFont="1" applyFill="1"/>
    <xf numFmtId="167" fontId="0" fillId="41" borderId="0" xfId="0" applyNumberFormat="1" applyFill="1"/>
    <xf numFmtId="0" fontId="39" fillId="0" borderId="0" xfId="0" applyFont="1" applyBorder="1" applyAlignment="1">
      <alignment wrapText="1"/>
    </xf>
    <xf numFmtId="0" fontId="39" fillId="0" borderId="0" xfId="0" applyFont="1" applyBorder="1"/>
    <xf numFmtId="0" fontId="39" fillId="0" borderId="0" xfId="0" applyFont="1" applyFill="1" applyBorder="1"/>
    <xf numFmtId="0" fontId="19" fillId="30" borderId="0" xfId="5" applyFont="1" applyFill="1" applyBorder="1" applyAlignment="1">
      <alignment horizontal="center" wrapText="1"/>
    </xf>
    <xf numFmtId="0" fontId="19" fillId="30" borderId="0" xfId="5" applyFont="1" applyFill="1" applyBorder="1" applyAlignment="1">
      <alignment horizontal="right"/>
    </xf>
    <xf numFmtId="0" fontId="62" fillId="30" borderId="0" xfId="0" applyFont="1" applyFill="1" applyBorder="1" applyAlignment="1">
      <alignment wrapText="1"/>
    </xf>
    <xf numFmtId="0" fontId="62" fillId="30" borderId="0" xfId="0" applyFont="1" applyFill="1" applyBorder="1"/>
    <xf numFmtId="0" fontId="138" fillId="0" borderId="0" xfId="4" applyFont="1" applyBorder="1"/>
    <xf numFmtId="0" fontId="144" fillId="0" borderId="0" xfId="0" applyFont="1"/>
    <xf numFmtId="0" fontId="138" fillId="0" borderId="0" xfId="4" applyFont="1" applyFill="1" applyBorder="1"/>
    <xf numFmtId="3" fontId="34" fillId="30" borderId="80" xfId="4" applyNumberFormat="1" applyFont="1" applyFill="1" applyBorder="1"/>
    <xf numFmtId="3" fontId="34" fillId="30" borderId="0" xfId="4" applyNumberFormat="1" applyFont="1" applyFill="1" applyBorder="1"/>
    <xf numFmtId="3" fontId="144" fillId="30" borderId="0" xfId="0" applyNumberFormat="1" applyFont="1" applyFill="1"/>
    <xf numFmtId="0" fontId="5" fillId="30" borderId="0" xfId="0" applyFont="1" applyFill="1" applyAlignment="1">
      <alignment wrapText="1"/>
    </xf>
    <xf numFmtId="0" fontId="5" fillId="30" borderId="80" xfId="0" applyFont="1" applyFill="1" applyBorder="1"/>
    <xf numFmtId="0" fontId="23" fillId="42" borderId="0" xfId="0" applyFont="1" applyFill="1"/>
    <xf numFmtId="0" fontId="49" fillId="42" borderId="0" xfId="12" applyFill="1"/>
    <xf numFmtId="0" fontId="145" fillId="22" borderId="0" xfId="0" applyFont="1" applyFill="1" applyProtection="1">
      <protection hidden="1"/>
    </xf>
    <xf numFmtId="0" fontId="146" fillId="22" borderId="0" xfId="0" applyFont="1" applyFill="1" applyProtection="1">
      <protection hidden="1"/>
    </xf>
    <xf numFmtId="0" fontId="39" fillId="22" borderId="0" xfId="0" applyFont="1" applyFill="1"/>
    <xf numFmtId="0" fontId="90" fillId="35" borderId="0" xfId="0" applyFont="1" applyFill="1" applyAlignment="1" applyProtection="1">
      <alignment horizontal="right"/>
      <protection hidden="1"/>
    </xf>
    <xf numFmtId="0" fontId="89" fillId="35" borderId="0" xfId="0" applyFont="1" applyFill="1" applyAlignment="1" applyProtection="1">
      <alignment horizontal="left"/>
      <protection hidden="1"/>
    </xf>
    <xf numFmtId="0" fontId="2" fillId="0" borderId="0" xfId="0" applyFont="1" applyProtection="1"/>
    <xf numFmtId="0" fontId="63" fillId="0" borderId="0" xfId="0" applyFont="1" applyProtection="1">
      <protection locked="0"/>
    </xf>
    <xf numFmtId="0" fontId="84" fillId="0" borderId="0" xfId="0" applyFont="1" applyProtection="1">
      <protection locked="0"/>
    </xf>
    <xf numFmtId="0" fontId="90" fillId="35" borderId="0" xfId="0" applyFont="1" applyFill="1" applyAlignment="1" applyProtection="1">
      <alignment horizontal="left"/>
      <protection hidden="1"/>
    </xf>
    <xf numFmtId="0" fontId="90" fillId="35" borderId="0" xfId="0" applyFont="1" applyFill="1" applyAlignment="1" applyProtection="1">
      <alignment horizontal="right"/>
      <protection hidden="1"/>
    </xf>
    <xf numFmtId="0" fontId="89" fillId="35" borderId="0" xfId="0" applyFont="1" applyFill="1" applyAlignment="1" applyProtection="1">
      <alignment horizontal="left"/>
      <protection hidden="1"/>
    </xf>
    <xf numFmtId="0" fontId="50" fillId="2" borderId="0" xfId="0" applyFont="1" applyFill="1" applyAlignment="1" applyProtection="1">
      <alignment horizontal="left" vertical="top" wrapText="1"/>
      <protection hidden="1"/>
    </xf>
    <xf numFmtId="0" fontId="0" fillId="0" borderId="0" xfId="0" applyAlignment="1" applyProtection="1">
      <alignment horizontal="center"/>
      <protection hidden="1"/>
    </xf>
    <xf numFmtId="0" fontId="90" fillId="35" borderId="0" xfId="0" applyFont="1" applyFill="1" applyAlignment="1" applyProtection="1">
      <alignment horizontal="right"/>
      <protection hidden="1"/>
    </xf>
    <xf numFmtId="0" fontId="50" fillId="0" borderId="0" xfId="0" applyFont="1" applyAlignment="1" applyProtection="1">
      <alignment horizontal="left" vertical="center" wrapText="1"/>
      <protection hidden="1"/>
    </xf>
    <xf numFmtId="0" fontId="89" fillId="35" borderId="0" xfId="0" applyFont="1" applyFill="1" applyAlignment="1" applyProtection="1">
      <alignment horizontal="left"/>
      <protection hidden="1"/>
    </xf>
    <xf numFmtId="0" fontId="50" fillId="2" borderId="0" xfId="0" applyFont="1" applyFill="1" applyAlignment="1" applyProtection="1">
      <alignment horizontal="left" vertical="center" wrapText="1"/>
      <protection hidden="1"/>
    </xf>
    <xf numFmtId="0" fontId="90" fillId="35" borderId="0" xfId="0" applyFont="1" applyFill="1" applyAlignment="1" applyProtection="1">
      <alignment horizontal="right" vertical="center"/>
      <protection hidden="1"/>
    </xf>
    <xf numFmtId="0" fontId="61" fillId="0" borderId="0" xfId="0" applyFont="1" applyBorder="1" applyProtection="1">
      <protection hidden="1"/>
    </xf>
    <xf numFmtId="0" fontId="104" fillId="0" borderId="0" xfId="0" applyFont="1" applyAlignment="1" applyProtection="1">
      <alignment horizontal="center"/>
      <protection hidden="1"/>
    </xf>
    <xf numFmtId="0" fontId="105" fillId="0" borderId="0" xfId="0" applyFont="1" applyAlignment="1" applyProtection="1">
      <alignment horizontal="center"/>
      <protection hidden="1"/>
    </xf>
    <xf numFmtId="0" fontId="106" fillId="0" borderId="0" xfId="0" applyFont="1" applyAlignment="1" applyProtection="1">
      <alignment horizontal="center"/>
      <protection hidden="1"/>
    </xf>
    <xf numFmtId="0" fontId="107" fillId="0" borderId="0" xfId="0" applyFont="1" applyAlignment="1" applyProtection="1">
      <alignment horizontal="center"/>
      <protection hidden="1"/>
    </xf>
    <xf numFmtId="0" fontId="108" fillId="0" borderId="0" xfId="0" applyFont="1" applyAlignment="1" applyProtection="1">
      <alignment horizontal="center"/>
      <protection hidden="1"/>
    </xf>
    <xf numFmtId="0" fontId="109" fillId="0" borderId="0" xfId="0" applyFont="1" applyAlignment="1" applyProtection="1">
      <alignment horizontal="center"/>
      <protection hidden="1"/>
    </xf>
    <xf numFmtId="0" fontId="110" fillId="0" borderId="0" xfId="0" applyFont="1" applyAlignment="1" applyProtection="1">
      <alignment horizontal="center"/>
      <protection hidden="1"/>
    </xf>
    <xf numFmtId="0" fontId="111" fillId="0" borderId="0" xfId="0" applyFont="1" applyAlignment="1" applyProtection="1">
      <alignment horizontal="center"/>
      <protection hidden="1"/>
    </xf>
    <xf numFmtId="0" fontId="112" fillId="0" borderId="0" xfId="0" applyFont="1" applyAlignment="1" applyProtection="1">
      <alignment horizontal="center"/>
      <protection hidden="1"/>
    </xf>
    <xf numFmtId="0" fontId="113" fillId="0" borderId="0" xfId="0" applyFont="1" applyAlignment="1" applyProtection="1">
      <alignment horizontal="center"/>
      <protection hidden="1"/>
    </xf>
    <xf numFmtId="0" fontId="114" fillId="0" borderId="0" xfId="0" applyFont="1" applyAlignment="1" applyProtection="1">
      <alignment horizontal="center"/>
      <protection hidden="1"/>
    </xf>
    <xf numFmtId="0" fontId="115" fillId="0" borderId="0" xfId="0" applyFont="1" applyFill="1" applyAlignment="1" applyProtection="1">
      <alignment horizontal="center"/>
      <protection hidden="1"/>
    </xf>
    <xf numFmtId="0" fontId="116" fillId="0" borderId="0" xfId="0" applyFont="1" applyAlignment="1" applyProtection="1">
      <alignment horizontal="center"/>
      <protection hidden="1"/>
    </xf>
    <xf numFmtId="0" fontId="54" fillId="0" borderId="0" xfId="0" applyFont="1" applyBorder="1" applyAlignment="1" applyProtection="1">
      <alignment horizontal="center"/>
      <protection hidden="1"/>
    </xf>
    <xf numFmtId="0" fontId="61" fillId="0" borderId="0" xfId="0" applyFont="1" applyAlignment="1" applyProtection="1">
      <protection hidden="1"/>
    </xf>
    <xf numFmtId="0" fontId="54" fillId="0" borderId="54" xfId="0" applyFont="1" applyBorder="1" applyAlignment="1" applyProtection="1">
      <alignment vertical="center"/>
      <protection hidden="1"/>
    </xf>
    <xf numFmtId="0" fontId="54" fillId="0" borderId="0" xfId="0" applyFont="1" applyBorder="1" applyAlignment="1" applyProtection="1">
      <alignment wrapText="1"/>
      <protection hidden="1"/>
    </xf>
    <xf numFmtId="0" fontId="54" fillId="0" borderId="0" xfId="0" applyFont="1" applyBorder="1" applyAlignment="1" applyProtection="1">
      <protection hidden="1"/>
    </xf>
    <xf numFmtId="0" fontId="147" fillId="0" borderId="0" xfId="0" applyFont="1" applyAlignment="1" applyProtection="1">
      <alignment horizontal="center"/>
      <protection hidden="1"/>
    </xf>
    <xf numFmtId="0" fontId="54" fillId="0" borderId="0" xfId="0" applyFont="1" applyBorder="1" applyAlignment="1" applyProtection="1">
      <alignment horizontal="left"/>
      <protection hidden="1"/>
    </xf>
    <xf numFmtId="1" fontId="54" fillId="0" borderId="0" xfId="0" applyNumberFormat="1" applyFont="1" applyBorder="1" applyAlignment="1" applyProtection="1">
      <alignment horizontal="center"/>
      <protection hidden="1"/>
    </xf>
    <xf numFmtId="0" fontId="58" fillId="0" borderId="0" xfId="0" applyFont="1" applyBorder="1" applyAlignment="1" applyProtection="1">
      <alignment horizontal="left"/>
      <protection locked="0" hidden="1"/>
    </xf>
    <xf numFmtId="3" fontId="58" fillId="0" borderId="0" xfId="0" applyNumberFormat="1" applyFont="1" applyBorder="1" applyAlignment="1" applyProtection="1">
      <alignment horizontal="right"/>
      <protection hidden="1"/>
    </xf>
    <xf numFmtId="0" fontId="55" fillId="0" borderId="0" xfId="0" applyFont="1" applyFill="1" applyBorder="1" applyAlignment="1" applyProtection="1">
      <alignment vertical="top"/>
      <protection hidden="1"/>
    </xf>
    <xf numFmtId="0" fontId="0" fillId="0" borderId="0" xfId="0" applyAlignment="1" applyProtection="1">
      <alignment vertical="top"/>
      <protection hidden="1"/>
    </xf>
    <xf numFmtId="0" fontId="61" fillId="0" borderId="54" xfId="0" applyFont="1" applyBorder="1" applyProtection="1">
      <protection hidden="1"/>
    </xf>
    <xf numFmtId="0" fontId="50" fillId="0" borderId="0" xfId="0" applyFont="1" applyAlignment="1" applyProtection="1">
      <alignment horizontal="center" vertical="center" wrapText="1"/>
      <protection hidden="1"/>
    </xf>
    <xf numFmtId="0" fontId="4" fillId="0" borderId="0" xfId="0" applyFont="1" applyFill="1" applyAlignment="1" applyProtection="1">
      <alignment vertical="center"/>
      <protection hidden="1"/>
    </xf>
    <xf numFmtId="0" fontId="3" fillId="0" borderId="0" xfId="0" applyFont="1" applyFill="1" applyBorder="1" applyAlignment="1">
      <alignment horizontal="center" vertical="center"/>
    </xf>
    <xf numFmtId="0" fontId="3" fillId="0" borderId="0" xfId="0" applyFont="1" applyFill="1" applyBorder="1" applyAlignment="1">
      <alignment vertical="center" wrapText="1"/>
    </xf>
    <xf numFmtId="0" fontId="52" fillId="0" borderId="0" xfId="0" applyFont="1" applyAlignment="1" applyProtection="1">
      <alignment wrapText="1"/>
      <protection hidden="1"/>
    </xf>
    <xf numFmtId="3" fontId="5" fillId="0" borderId="0" xfId="0" applyNumberFormat="1" applyFont="1"/>
    <xf numFmtId="3" fontId="5" fillId="31" borderId="0" xfId="0" applyNumberFormat="1" applyFont="1" applyFill="1"/>
    <xf numFmtId="3" fontId="5" fillId="30" borderId="0" xfId="0" applyNumberFormat="1" applyFont="1" applyFill="1"/>
    <xf numFmtId="3" fontId="5" fillId="41" borderId="0" xfId="0" applyNumberFormat="1" applyFont="1" applyFill="1"/>
    <xf numFmtId="3" fontId="5" fillId="11" borderId="0" xfId="0" applyNumberFormat="1" applyFont="1" applyFill="1"/>
    <xf numFmtId="0" fontId="10" fillId="0" borderId="0" xfId="1" applyNumberFormat="1" applyFont="1"/>
    <xf numFmtId="1" fontId="10" fillId="0" borderId="0" xfId="0" applyNumberFormat="1" applyFont="1"/>
    <xf numFmtId="3" fontId="10" fillId="0" borderId="0" xfId="0" applyNumberFormat="1" applyFont="1" applyFill="1" applyAlignment="1">
      <alignment horizontal="center" wrapText="1"/>
    </xf>
    <xf numFmtId="3" fontId="11" fillId="11" borderId="0" xfId="0" applyNumberFormat="1" applyFont="1" applyFill="1" applyAlignment="1">
      <alignment horizontal="center"/>
    </xf>
    <xf numFmtId="3" fontId="9" fillId="11" borderId="0" xfId="0" applyNumberFormat="1" applyFont="1" applyFill="1" applyAlignment="1">
      <alignment horizontal="center"/>
    </xf>
    <xf numFmtId="3" fontId="10" fillId="11" borderId="0" xfId="0" applyNumberFormat="1" applyFont="1" applyFill="1" applyAlignment="1">
      <alignment horizontal="center"/>
    </xf>
    <xf numFmtId="3" fontId="9" fillId="0" borderId="0" xfId="0" applyNumberFormat="1" applyFont="1" applyFill="1" applyAlignment="1">
      <alignment horizontal="center" wrapText="1"/>
    </xf>
    <xf numFmtId="3" fontId="9" fillId="11" borderId="0" xfId="0" applyNumberFormat="1" applyFont="1" applyFill="1"/>
    <xf numFmtId="3" fontId="5" fillId="0" borderId="0" xfId="0" applyNumberFormat="1" applyFont="1" applyFill="1"/>
    <xf numFmtId="1" fontId="11" fillId="11" borderId="0" xfId="0" applyNumberFormat="1" applyFont="1" applyFill="1" applyAlignment="1">
      <alignment horizontal="center"/>
    </xf>
    <xf numFmtId="0" fontId="148" fillId="0" borderId="0" xfId="2" applyFont="1"/>
    <xf numFmtId="3" fontId="130" fillId="0" borderId="0" xfId="0" applyNumberFormat="1" applyFont="1" applyFill="1"/>
    <xf numFmtId="0" fontId="130" fillId="0" borderId="0" xfId="0" applyNumberFormat="1" applyFont="1" applyFill="1" applyBorder="1" applyAlignment="1">
      <alignment horizontal="center" vertical="center" wrapText="1"/>
    </xf>
    <xf numFmtId="164" fontId="130" fillId="0" borderId="0" xfId="0" applyNumberFormat="1" applyFont="1" applyFill="1"/>
    <xf numFmtId="164" fontId="12" fillId="0" borderId="0" xfId="4" applyNumberFormat="1" applyFont="1" applyFill="1"/>
    <xf numFmtId="3" fontId="0" fillId="11" borderId="0" xfId="0" applyNumberFormat="1" applyFill="1"/>
    <xf numFmtId="2" fontId="0" fillId="11" borderId="0" xfId="0" applyNumberFormat="1" applyFill="1"/>
    <xf numFmtId="3" fontId="10" fillId="11" borderId="0" xfId="0" applyNumberFormat="1" applyFont="1" applyFill="1"/>
    <xf numFmtId="3" fontId="11" fillId="11" borderId="0" xfId="0" applyNumberFormat="1" applyFont="1" applyFill="1"/>
    <xf numFmtId="0" fontId="53" fillId="0" borderId="0" xfId="0" applyFont="1" applyAlignment="1">
      <alignment horizontal="center"/>
    </xf>
    <xf numFmtId="0" fontId="49" fillId="21" borderId="0" xfId="12" applyFill="1" applyAlignment="1">
      <alignment vertical="center"/>
    </xf>
    <xf numFmtId="3" fontId="19" fillId="0" borderId="0" xfId="5" quotePrefix="1" applyNumberFormat="1" applyFont="1" applyFill="1" applyBorder="1" applyAlignment="1"/>
    <xf numFmtId="3" fontId="2" fillId="11" borderId="0" xfId="0" applyNumberFormat="1" applyFont="1" applyFill="1"/>
    <xf numFmtId="9" fontId="39" fillId="0" borderId="0" xfId="1" applyFont="1" applyBorder="1" applyAlignment="1">
      <alignment horizontal="center"/>
    </xf>
    <xf numFmtId="3" fontId="40" fillId="0" borderId="0" xfId="4" applyNumberFormat="1" applyFont="1"/>
    <xf numFmtId="0" fontId="0" fillId="0" borderId="0" xfId="0"/>
    <xf numFmtId="1" fontId="0" fillId="0" borderId="0" xfId="0" applyNumberFormat="1"/>
    <xf numFmtId="1" fontId="0" fillId="0" borderId="0" xfId="0" applyNumberFormat="1"/>
    <xf numFmtId="1" fontId="0" fillId="0" borderId="0" xfId="0" applyNumberFormat="1"/>
    <xf numFmtId="1" fontId="0" fillId="0" borderId="0" xfId="0" applyNumberFormat="1"/>
    <xf numFmtId="1" fontId="0" fillId="0" borderId="0" xfId="0" applyNumberFormat="1"/>
    <xf numFmtId="1" fontId="0" fillId="0" borderId="0" xfId="0" applyNumberFormat="1"/>
    <xf numFmtId="1" fontId="0" fillId="0" borderId="0" xfId="0" applyNumberFormat="1"/>
    <xf numFmtId="1" fontId="0" fillId="0" borderId="0" xfId="0" applyNumberFormat="1"/>
    <xf numFmtId="1" fontId="0" fillId="0" borderId="0" xfId="0" applyNumberFormat="1"/>
    <xf numFmtId="0" fontId="50" fillId="0" borderId="0" xfId="0" applyFont="1" applyAlignment="1" applyProtection="1">
      <alignment horizontal="left" vertical="center" wrapText="1"/>
      <protection hidden="1"/>
    </xf>
    <xf numFmtId="0" fontId="90" fillId="35" borderId="0" xfId="0" applyFont="1" applyFill="1" applyAlignment="1" applyProtection="1">
      <alignment horizontal="right"/>
      <protection hidden="1"/>
    </xf>
    <xf numFmtId="0" fontId="50" fillId="2" borderId="0" xfId="0" applyFont="1" applyFill="1" applyAlignment="1" applyProtection="1">
      <alignment horizontal="left" vertical="center" wrapText="1"/>
      <protection hidden="1"/>
    </xf>
    <xf numFmtId="0" fontId="53" fillId="2" borderId="0" xfId="0" applyFont="1" applyFill="1" applyAlignment="1" applyProtection="1">
      <alignment horizontal="left" vertical="center" wrapText="1"/>
      <protection hidden="1"/>
    </xf>
    <xf numFmtId="165" fontId="9" fillId="0" borderId="0" xfId="0" applyNumberFormat="1" applyFont="1" applyAlignment="1"/>
    <xf numFmtId="3" fontId="0" fillId="0" borderId="0" xfId="0" applyNumberFormat="1" applyAlignment="1">
      <alignment horizontal="right"/>
    </xf>
    <xf numFmtId="0" fontId="135" fillId="0" borderId="0" xfId="0" applyFont="1"/>
    <xf numFmtId="3" fontId="54" fillId="0" borderId="0" xfId="0" applyNumberFormat="1" applyFont="1" applyBorder="1" applyAlignment="1" applyProtection="1">
      <protection hidden="1"/>
    </xf>
    <xf numFmtId="0" fontId="46" fillId="0" borderId="0" xfId="0" applyNumberFormat="1" applyFont="1" applyFill="1" applyBorder="1" applyAlignment="1" applyProtection="1"/>
    <xf numFmtId="0" fontId="150" fillId="0" borderId="0" xfId="0" applyFont="1" applyProtection="1">
      <protection hidden="1"/>
    </xf>
    <xf numFmtId="0" fontId="8" fillId="0" borderId="0" xfId="0" applyFont="1" applyProtection="1">
      <protection hidden="1"/>
    </xf>
    <xf numFmtId="0" fontId="149" fillId="0" borderId="0" xfId="0" applyFont="1" applyAlignment="1">
      <alignment horizontal="left" wrapText="1"/>
    </xf>
    <xf numFmtId="0" fontId="48" fillId="0" borderId="0" xfId="0" applyFont="1" applyAlignment="1" applyProtection="1">
      <alignment horizontal="left" vertical="center"/>
      <protection hidden="1"/>
    </xf>
    <xf numFmtId="49" fontId="85" fillId="2" borderId="0" xfId="0" applyNumberFormat="1" applyFont="1" applyFill="1" applyAlignment="1" applyProtection="1">
      <alignment horizontal="left" vertical="center"/>
      <protection hidden="1"/>
    </xf>
    <xf numFmtId="3" fontId="48" fillId="0" borderId="0" xfId="0" applyNumberFormat="1" applyFont="1" applyProtection="1">
      <protection hidden="1"/>
    </xf>
    <xf numFmtId="0" fontId="61" fillId="0" borderId="23" xfId="0" applyFont="1" applyBorder="1" applyProtection="1">
      <protection hidden="1"/>
    </xf>
    <xf numFmtId="0" fontId="156" fillId="0" borderId="0" xfId="12" applyFont="1" applyProtection="1">
      <protection hidden="1"/>
    </xf>
    <xf numFmtId="0" fontId="157" fillId="0" borderId="0" xfId="12" applyFont="1" applyProtection="1">
      <protection hidden="1"/>
    </xf>
    <xf numFmtId="175" fontId="0" fillId="33" borderId="0" xfId="0" applyNumberFormat="1" applyFill="1"/>
    <xf numFmtId="175" fontId="0" fillId="33" borderId="0" xfId="0" applyNumberFormat="1" applyFont="1" applyFill="1"/>
    <xf numFmtId="0" fontId="5" fillId="33" borderId="0" xfId="0" applyFont="1" applyFill="1" applyAlignment="1">
      <alignment vertical="center"/>
    </xf>
    <xf numFmtId="3" fontId="5" fillId="33" borderId="0" xfId="0" applyNumberFormat="1" applyFont="1" applyFill="1" applyAlignment="1">
      <alignment vertical="center"/>
    </xf>
    <xf numFmtId="2" fontId="10" fillId="0" borderId="0" xfId="1" applyNumberFormat="1" applyFont="1"/>
    <xf numFmtId="0" fontId="158" fillId="0" borderId="0" xfId="12" applyFont="1" applyAlignment="1" applyProtection="1">
      <alignment vertical="top"/>
      <protection hidden="1"/>
    </xf>
    <xf numFmtId="0" fontId="158" fillId="0" borderId="0" xfId="12" applyFont="1" applyProtection="1">
      <protection hidden="1"/>
    </xf>
    <xf numFmtId="0" fontId="158" fillId="0" borderId="0" xfId="12" applyFont="1" applyFill="1" applyProtection="1">
      <protection hidden="1"/>
    </xf>
    <xf numFmtId="0" fontId="157" fillId="0" borderId="0" xfId="12" applyFont="1" applyAlignment="1" applyProtection="1">
      <alignment horizontal="left" vertical="center"/>
      <protection hidden="1"/>
    </xf>
    <xf numFmtId="0" fontId="159" fillId="0" borderId="0" xfId="12" applyFont="1" applyProtection="1">
      <protection hidden="1"/>
    </xf>
    <xf numFmtId="0" fontId="158" fillId="0" borderId="0" xfId="12" applyFont="1"/>
    <xf numFmtId="0" fontId="156" fillId="0" borderId="0" xfId="0" applyFont="1" applyProtection="1">
      <protection hidden="1"/>
    </xf>
    <xf numFmtId="0" fontId="156" fillId="2" borderId="0" xfId="12" applyFont="1" applyFill="1" applyAlignment="1" applyProtection="1">
      <protection hidden="1"/>
    </xf>
    <xf numFmtId="0" fontId="157" fillId="2" borderId="0" xfId="12" applyFont="1" applyFill="1" applyProtection="1">
      <protection hidden="1"/>
    </xf>
    <xf numFmtId="0" fontId="161" fillId="22" borderId="0" xfId="12" applyFont="1" applyFill="1"/>
    <xf numFmtId="0" fontId="158" fillId="2" borderId="0" xfId="12" applyFont="1" applyFill="1" applyProtection="1">
      <protection hidden="1"/>
    </xf>
    <xf numFmtId="0" fontId="162" fillId="0" borderId="34" xfId="12" applyFont="1" applyFill="1" applyBorder="1" applyAlignment="1" applyProtection="1">
      <alignment horizontal="center" vertical="center" wrapText="1"/>
      <protection hidden="1"/>
    </xf>
    <xf numFmtId="0" fontId="90" fillId="35" borderId="0" xfId="0" applyFont="1" applyFill="1" applyAlignment="1" applyProtection="1">
      <alignment horizontal="right"/>
      <protection hidden="1"/>
    </xf>
    <xf numFmtId="0" fontId="50" fillId="2" borderId="0" xfId="0" applyFont="1" applyFill="1" applyAlignment="1" applyProtection="1">
      <alignment horizontal="justify" vertical="center" wrapText="1"/>
      <protection hidden="1"/>
    </xf>
    <xf numFmtId="0" fontId="0" fillId="0" borderId="0" xfId="0"/>
    <xf numFmtId="3" fontId="0" fillId="0" borderId="0" xfId="0" applyNumberFormat="1"/>
    <xf numFmtId="0" fontId="0" fillId="0" borderId="0" xfId="0"/>
    <xf numFmtId="3" fontId="0" fillId="0" borderId="0" xfId="0" applyNumberFormat="1"/>
    <xf numFmtId="0" fontId="50" fillId="2" borderId="0" xfId="0" applyFont="1" applyFill="1" applyAlignment="1" applyProtection="1">
      <alignment horizontal="justify" vertical="center" wrapText="1"/>
      <protection hidden="1"/>
    </xf>
    <xf numFmtId="0" fontId="54" fillId="0" borderId="0" xfId="0" applyFont="1" applyBorder="1" applyAlignment="1" applyProtection="1">
      <alignment horizontal="center" vertical="center" wrapText="1"/>
      <protection hidden="1"/>
    </xf>
    <xf numFmtId="167" fontId="35" fillId="0" borderId="0" xfId="1" applyNumberFormat="1" applyFont="1"/>
    <xf numFmtId="0" fontId="54" fillId="0" borderId="34"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5" fillId="0" borderId="0" xfId="0" applyFont="1" applyAlignment="1">
      <alignment horizontal="center" vertical="center"/>
    </xf>
    <xf numFmtId="0" fontId="0" fillId="0" borderId="0" xfId="0" applyAlignment="1">
      <alignment horizontal="center" vertical="center"/>
    </xf>
    <xf numFmtId="0" fontId="44" fillId="2" borderId="0" xfId="0" applyNumberFormat="1" applyFont="1" applyFill="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50" fillId="0" borderId="0" xfId="0" applyFont="1" applyAlignment="1" applyProtection="1">
      <alignment horizontal="center" vertical="center"/>
      <protection hidden="1"/>
    </xf>
    <xf numFmtId="0" fontId="49" fillId="0" borderId="0" xfId="12" applyAlignment="1" applyProtection="1">
      <alignment horizontal="center" vertical="center"/>
      <protection hidden="1"/>
    </xf>
    <xf numFmtId="0" fontId="52" fillId="0" borderId="0" xfId="0" applyFont="1" applyAlignment="1" applyProtection="1">
      <alignment horizontal="center" vertical="center"/>
      <protection hidden="1"/>
    </xf>
    <xf numFmtId="0" fontId="133" fillId="0" borderId="0" xfId="0" applyFont="1" applyBorder="1" applyProtection="1">
      <protection hidden="1"/>
    </xf>
    <xf numFmtId="3" fontId="163" fillId="0" borderId="0" xfId="0" applyNumberFormat="1" applyFont="1" applyBorder="1" applyAlignment="1" applyProtection="1">
      <protection hidden="1"/>
    </xf>
    <xf numFmtId="9" fontId="61" fillId="22" borderId="20" xfId="1" applyNumberFormat="1" applyFont="1" applyFill="1" applyBorder="1" applyAlignment="1" applyProtection="1">
      <alignment horizontal="center" vertical="center"/>
      <protection hidden="1"/>
    </xf>
    <xf numFmtId="0" fontId="164" fillId="22" borderId="0" xfId="12" applyFont="1" applyFill="1"/>
    <xf numFmtId="0" fontId="158" fillId="0" borderId="0" xfId="0" applyFont="1"/>
    <xf numFmtId="0" fontId="158" fillId="0" borderId="0" xfId="0" applyFont="1" applyProtection="1">
      <protection hidden="1"/>
    </xf>
    <xf numFmtId="0" fontId="0" fillId="0" borderId="0" xfId="0" quotePrefix="1" applyAlignment="1">
      <alignment horizontal="left"/>
    </xf>
    <xf numFmtId="0" fontId="160" fillId="0" borderId="0" xfId="12" applyFont="1" applyProtection="1">
      <protection hidden="1"/>
    </xf>
    <xf numFmtId="0" fontId="165" fillId="0" borderId="0" xfId="0" applyFont="1" applyProtection="1">
      <protection hidden="1"/>
    </xf>
    <xf numFmtId="0" fontId="130" fillId="46" borderId="0" xfId="0" applyNumberFormat="1" applyFont="1" applyFill="1"/>
    <xf numFmtId="3" fontId="130" fillId="46" borderId="0" xfId="0" applyNumberFormat="1" applyFont="1" applyFill="1" applyAlignment="1">
      <alignment horizontal="center" vertical="center"/>
    </xf>
    <xf numFmtId="164" fontId="130" fillId="46" borderId="0" xfId="0" applyNumberFormat="1" applyFont="1" applyFill="1"/>
    <xf numFmtId="164" fontId="10" fillId="46" borderId="0" xfId="0" applyNumberFormat="1" applyFont="1" applyFill="1"/>
    <xf numFmtId="4" fontId="12" fillId="46" borderId="0" xfId="4" applyNumberFormat="1" applyFont="1" applyFill="1"/>
    <xf numFmtId="4" fontId="21" fillId="46" borderId="0" xfId="0" applyNumberFormat="1" applyFont="1" applyFill="1"/>
    <xf numFmtId="0" fontId="0" fillId="46" borderId="0" xfId="0" applyFill="1"/>
    <xf numFmtId="0" fontId="138" fillId="46" borderId="9" xfId="15" applyFont="1" applyFill="1" applyAlignment="1">
      <alignment horizontal="center"/>
    </xf>
    <xf numFmtId="3" fontId="138" fillId="46" borderId="9" xfId="0" applyNumberFormat="1" applyFont="1" applyFill="1" applyBorder="1"/>
    <xf numFmtId="3" fontId="138" fillId="46" borderId="9" xfId="0" applyNumberFormat="1" applyFont="1" applyFill="1" applyBorder="1" applyAlignment="1">
      <alignment wrapText="1"/>
    </xf>
    <xf numFmtId="3" fontId="138" fillId="46" borderId="9" xfId="0" applyNumberFormat="1" applyFont="1" applyFill="1" applyBorder="1" applyAlignment="1"/>
    <xf numFmtId="0" fontId="34" fillId="47" borderId="9" xfId="15" applyFont="1" applyFill="1" applyAlignment="1">
      <alignment horizontal="center"/>
    </xf>
    <xf numFmtId="3" fontId="34" fillId="47" borderId="9" xfId="0" applyNumberFormat="1" applyFont="1" applyFill="1" applyBorder="1"/>
    <xf numFmtId="3" fontId="34" fillId="47" borderId="9" xfId="0" applyNumberFormat="1" applyFont="1" applyFill="1" applyBorder="1" applyAlignment="1"/>
    <xf numFmtId="3" fontId="34" fillId="47" borderId="9" xfId="0" applyNumberFormat="1" applyFont="1" applyFill="1" applyBorder="1" applyAlignment="1">
      <alignment wrapText="1"/>
    </xf>
    <xf numFmtId="0" fontId="15" fillId="49" borderId="9" xfId="0" applyFont="1" applyFill="1" applyBorder="1"/>
    <xf numFmtId="166" fontId="15" fillId="49" borderId="9" xfId="1" applyNumberFormat="1" applyFont="1" applyFill="1" applyBorder="1"/>
    <xf numFmtId="166" fontId="15" fillId="49" borderId="9" xfId="1" applyNumberFormat="1" applyFont="1" applyFill="1" applyBorder="1" applyAlignment="1">
      <alignment horizontal="right"/>
    </xf>
    <xf numFmtId="0" fontId="33" fillId="47" borderId="0" xfId="0" applyFont="1" applyFill="1"/>
    <xf numFmtId="49" fontId="138" fillId="48" borderId="9" xfId="0" applyNumberFormat="1" applyFont="1" applyFill="1" applyBorder="1" applyAlignment="1">
      <alignment horizontal="center" vertical="center" wrapText="1"/>
    </xf>
    <xf numFmtId="0" fontId="33" fillId="0" borderId="0" xfId="0" applyFont="1"/>
    <xf numFmtId="165" fontId="34" fillId="0" borderId="0" xfId="0" quotePrefix="1" applyNumberFormat="1" applyFont="1" applyBorder="1" applyAlignment="1">
      <alignment horizontal="right"/>
    </xf>
    <xf numFmtId="0" fontId="34" fillId="0" borderId="0" xfId="0" applyFont="1" applyBorder="1"/>
    <xf numFmtId="0" fontId="34" fillId="0" borderId="0" xfId="0" applyFont="1" applyFill="1" applyBorder="1"/>
    <xf numFmtId="0" fontId="0" fillId="46" borderId="0" xfId="0" applyFill="1" applyAlignment="1">
      <alignment horizontal="center" vertical="center" wrapText="1"/>
    </xf>
    <xf numFmtId="0" fontId="2" fillId="46" borderId="0" xfId="0" applyFont="1" applyFill="1" applyAlignment="1">
      <alignment horizontal="center" vertical="center" wrapText="1"/>
    </xf>
    <xf numFmtId="0" fontId="2" fillId="46" borderId="0" xfId="0" applyFont="1" applyFill="1"/>
    <xf numFmtId="0" fontId="153" fillId="0" borderId="0" xfId="0" applyFont="1" applyFill="1" applyBorder="1" applyAlignment="1">
      <alignment horizontal="left" vertical="center" wrapText="1"/>
    </xf>
    <xf numFmtId="165" fontId="34" fillId="0" borderId="0" xfId="31" applyNumberFormat="1" applyFont="1" applyAlignment="1">
      <alignment horizontal="right"/>
    </xf>
    <xf numFmtId="0" fontId="2" fillId="46" borderId="0" xfId="0" applyFont="1" applyFill="1" applyAlignment="1">
      <alignment vertical="center" wrapText="1"/>
    </xf>
    <xf numFmtId="3" fontId="137" fillId="0" borderId="0" xfId="0" applyNumberFormat="1" applyFont="1"/>
    <xf numFmtId="3" fontId="137" fillId="30" borderId="0" xfId="0" applyNumberFormat="1" applyFont="1" applyFill="1"/>
    <xf numFmtId="3" fontId="137" fillId="38" borderId="0" xfId="0" applyNumberFormat="1" applyFont="1" applyFill="1"/>
    <xf numFmtId="167" fontId="137" fillId="0" borderId="0" xfId="1" applyNumberFormat="1" applyFont="1"/>
    <xf numFmtId="3" fontId="5" fillId="38" borderId="0" xfId="0" applyNumberFormat="1" applyFont="1" applyFill="1"/>
    <xf numFmtId="0" fontId="168" fillId="0" borderId="0" xfId="0" applyFont="1" applyAlignment="1">
      <alignment vertical="center"/>
    </xf>
    <xf numFmtId="0" fontId="1" fillId="0" borderId="0" xfId="0" applyFont="1" applyAlignment="1" applyProtection="1">
      <alignment horizontal="center" vertical="center"/>
      <protection hidden="1"/>
    </xf>
    <xf numFmtId="0" fontId="169" fillId="0" borderId="0" xfId="0" quotePrefix="1" applyFont="1" applyAlignment="1">
      <alignment horizontal="left" vertical="top"/>
    </xf>
    <xf numFmtId="0" fontId="0" fillId="0" borderId="0" xfId="1" applyNumberFormat="1" applyFont="1" applyAlignment="1"/>
    <xf numFmtId="0" fontId="0" fillId="50" borderId="0" xfId="0" applyFill="1"/>
    <xf numFmtId="0" fontId="19" fillId="51" borderId="74" xfId="13" applyFont="1" applyFill="1" applyBorder="1" applyAlignment="1">
      <alignment horizontal="center"/>
    </xf>
    <xf numFmtId="0" fontId="19" fillId="51" borderId="13" xfId="13" applyFont="1" applyFill="1" applyBorder="1" applyAlignment="1">
      <alignment horizontal="center" wrapText="1"/>
    </xf>
    <xf numFmtId="0" fontId="117" fillId="51" borderId="75" xfId="13" applyFont="1" applyFill="1" applyBorder="1" applyAlignment="1">
      <alignment horizontal="center"/>
    </xf>
    <xf numFmtId="0" fontId="0" fillId="50" borderId="0" xfId="0" applyFill="1" applyAlignment="1">
      <alignment wrapText="1"/>
    </xf>
    <xf numFmtId="0" fontId="39" fillId="50" borderId="0" xfId="0" applyFont="1" applyFill="1"/>
    <xf numFmtId="3" fontId="0" fillId="50" borderId="0" xfId="0" applyNumberFormat="1" applyFill="1"/>
    <xf numFmtId="0" fontId="0" fillId="50" borderId="0" xfId="0" applyFill="1" applyBorder="1"/>
    <xf numFmtId="0" fontId="137" fillId="0" borderId="0" xfId="0" applyFont="1" applyBorder="1"/>
    <xf numFmtId="0" fontId="137" fillId="0" borderId="0" xfId="0" applyFont="1" applyBorder="1" applyAlignment="1">
      <alignment wrapText="1"/>
    </xf>
    <xf numFmtId="0" fontId="137" fillId="0" borderId="0" xfId="0" applyFont="1" applyFill="1" applyBorder="1"/>
    <xf numFmtId="0" fontId="0" fillId="52" borderId="0" xfId="0" applyFill="1"/>
    <xf numFmtId="0" fontId="0" fillId="52" borderId="0" xfId="0" applyFill="1" applyAlignment="1">
      <alignment wrapText="1"/>
    </xf>
    <xf numFmtId="2" fontId="0" fillId="52" borderId="0" xfId="0" applyNumberFormat="1" applyFill="1"/>
    <xf numFmtId="3" fontId="0" fillId="52" borderId="0" xfId="0" applyNumberFormat="1" applyFill="1"/>
    <xf numFmtId="1" fontId="0" fillId="52" borderId="0" xfId="0" applyNumberFormat="1" applyFill="1"/>
    <xf numFmtId="0" fontId="0" fillId="53" borderId="0" xfId="0" applyFill="1"/>
    <xf numFmtId="0" fontId="9" fillId="53" borderId="0" xfId="0" applyFont="1" applyFill="1" applyBorder="1"/>
    <xf numFmtId="0" fontId="9" fillId="53" borderId="0" xfId="0" applyFont="1" applyFill="1"/>
    <xf numFmtId="0" fontId="9" fillId="53" borderId="0" xfId="0" applyFont="1" applyFill="1" applyAlignment="1">
      <alignment wrapText="1"/>
    </xf>
    <xf numFmtId="3" fontId="10" fillId="53" borderId="0" xfId="0" applyNumberFormat="1" applyFont="1" applyFill="1"/>
    <xf numFmtId="0" fontId="5" fillId="53" borderId="0" xfId="0" applyFont="1" applyFill="1" applyAlignment="1">
      <alignment wrapText="1"/>
    </xf>
    <xf numFmtId="0" fontId="5" fillId="53" borderId="0" xfId="0" applyFont="1" applyFill="1"/>
    <xf numFmtId="2" fontId="137" fillId="0" borderId="0" xfId="0" applyNumberFormat="1" applyFont="1"/>
    <xf numFmtId="3" fontId="5" fillId="53" borderId="0" xfId="0" applyNumberFormat="1" applyFont="1" applyFill="1"/>
    <xf numFmtId="2" fontId="5" fillId="53" borderId="0" xfId="0" applyNumberFormat="1" applyFont="1" applyFill="1"/>
    <xf numFmtId="3" fontId="34" fillId="53" borderId="80" xfId="4" applyNumberFormat="1" applyFont="1" applyFill="1" applyBorder="1"/>
    <xf numFmtId="1" fontId="144" fillId="53" borderId="0" xfId="0" applyNumberFormat="1" applyFont="1" applyFill="1"/>
    <xf numFmtId="3" fontId="34" fillId="53" borderId="0" xfId="1" applyNumberFormat="1" applyFont="1" applyFill="1"/>
    <xf numFmtId="0" fontId="5" fillId="0" borderId="0" xfId="0" applyFont="1" applyFill="1" applyAlignment="1">
      <alignment wrapText="1"/>
    </xf>
    <xf numFmtId="0" fontId="5" fillId="0" borderId="0" xfId="0" applyFont="1" applyFill="1"/>
    <xf numFmtId="0" fontId="50" fillId="2" borderId="0" xfId="0" applyFont="1" applyFill="1" applyAlignment="1" applyProtection="1">
      <alignment horizontal="justify" vertical="center" wrapText="1"/>
      <protection hidden="1"/>
    </xf>
    <xf numFmtId="0" fontId="10" fillId="53" borderId="0" xfId="0" applyFont="1" applyFill="1"/>
    <xf numFmtId="0" fontId="34" fillId="53" borderId="14" xfId="0" applyNumberFormat="1" applyFont="1" applyFill="1" applyBorder="1" applyAlignment="1">
      <alignment horizontal="right"/>
    </xf>
    <xf numFmtId="0" fontId="121" fillId="0" borderId="0" xfId="12" applyFont="1"/>
    <xf numFmtId="9" fontId="44" fillId="0" borderId="0" xfId="1" applyFont="1" applyFill="1" applyBorder="1" applyAlignment="1" applyProtection="1">
      <protection hidden="1"/>
    </xf>
    <xf numFmtId="0" fontId="170" fillId="0" borderId="0" xfId="0" applyFont="1"/>
    <xf numFmtId="9" fontId="171" fillId="17" borderId="0" xfId="1" applyFont="1" applyFill="1" applyBorder="1" applyAlignment="1" applyProtection="1">
      <protection hidden="1"/>
    </xf>
    <xf numFmtId="9" fontId="172" fillId="5" borderId="0" xfId="1" applyFont="1" applyFill="1" applyBorder="1" applyAlignment="1" applyProtection="1">
      <protection hidden="1"/>
    </xf>
    <xf numFmtId="0" fontId="12" fillId="17" borderId="0" xfId="0" applyFont="1" applyFill="1"/>
    <xf numFmtId="167" fontId="12" fillId="17" borderId="0" xfId="1" applyNumberFormat="1" applyFont="1" applyFill="1"/>
    <xf numFmtId="0" fontId="29" fillId="17" borderId="0" xfId="0" applyFont="1" applyFill="1"/>
    <xf numFmtId="3" fontId="29" fillId="17" borderId="0" xfId="0" applyNumberFormat="1" applyFont="1" applyFill="1"/>
    <xf numFmtId="0" fontId="0" fillId="17" borderId="0" xfId="0" applyFill="1" applyAlignment="1">
      <alignment wrapText="1"/>
    </xf>
    <xf numFmtId="0" fontId="19" fillId="0" borderId="11" xfId="2" applyFont="1" applyFill="1" applyBorder="1" applyAlignment="1"/>
    <xf numFmtId="2" fontId="19" fillId="0" borderId="11" xfId="2" applyNumberFormat="1" applyFont="1" applyFill="1" applyBorder="1" applyAlignment="1">
      <alignment horizontal="right"/>
    </xf>
    <xf numFmtId="0" fontId="86" fillId="0" borderId="0" xfId="12" applyFont="1" applyAlignment="1" applyProtection="1">
      <alignment horizontal="left" vertical="center"/>
      <protection hidden="1"/>
    </xf>
    <xf numFmtId="3" fontId="33" fillId="0" borderId="0" xfId="0" applyNumberFormat="1" applyFont="1" applyAlignment="1">
      <alignment horizontal="center"/>
    </xf>
    <xf numFmtId="3" fontId="33" fillId="0" borderId="0" xfId="0" applyNumberFormat="1" applyFont="1" applyFill="1"/>
    <xf numFmtId="3" fontId="33" fillId="50" borderId="0" xfId="0" applyNumberFormat="1" applyFont="1" applyFill="1" applyAlignment="1">
      <alignment horizontal="center"/>
    </xf>
    <xf numFmtId="3" fontId="33" fillId="50" borderId="0" xfId="0" applyNumberFormat="1" applyFont="1" applyFill="1"/>
    <xf numFmtId="10" fontId="33" fillId="0" borderId="0" xfId="1" applyNumberFormat="1" applyFont="1"/>
    <xf numFmtId="9" fontId="33" fillId="0" borderId="0" xfId="1" applyFont="1"/>
    <xf numFmtId="3" fontId="9" fillId="50" borderId="0" xfId="0" applyNumberFormat="1" applyFont="1" applyFill="1"/>
    <xf numFmtId="3" fontId="19" fillId="50" borderId="12" xfId="2" applyNumberFormat="1" applyFont="1" applyFill="1" applyBorder="1" applyAlignment="1">
      <alignment horizontal="right"/>
    </xf>
    <xf numFmtId="9" fontId="54" fillId="22" borderId="92" xfId="1" applyFont="1" applyFill="1" applyBorder="1" applyAlignment="1" applyProtection="1">
      <alignment vertical="center"/>
      <protection hidden="1"/>
    </xf>
    <xf numFmtId="164" fontId="21" fillId="46" borderId="0" xfId="0" applyNumberFormat="1" applyFont="1" applyFill="1"/>
    <xf numFmtId="0" fontId="63" fillId="0" borderId="55" xfId="0" applyFont="1" applyBorder="1" applyAlignment="1" applyProtection="1">
      <alignment horizontal="center" vertical="center"/>
      <protection hidden="1"/>
    </xf>
    <xf numFmtId="0" fontId="63" fillId="0" borderId="0" xfId="0" applyFont="1" applyBorder="1" applyAlignment="1" applyProtection="1">
      <alignment horizontal="center" vertical="center"/>
      <protection hidden="1"/>
    </xf>
    <xf numFmtId="0" fontId="63" fillId="0" borderId="60" xfId="0" applyFont="1" applyBorder="1" applyAlignment="1" applyProtection="1">
      <alignment horizontal="center" vertical="center"/>
      <protection hidden="1"/>
    </xf>
    <xf numFmtId="0" fontId="63" fillId="0" borderId="49" xfId="0" applyFont="1" applyBorder="1" applyAlignment="1" applyProtection="1">
      <alignment horizontal="center" vertical="center"/>
      <protection hidden="1"/>
    </xf>
    <xf numFmtId="0" fontId="63" fillId="0" borderId="54" xfId="0" applyFont="1" applyBorder="1" applyAlignment="1" applyProtection="1">
      <alignment horizontal="center" vertical="center"/>
      <protection hidden="1"/>
    </xf>
    <xf numFmtId="0" fontId="63" fillId="0" borderId="50" xfId="0" applyFont="1" applyBorder="1" applyAlignment="1" applyProtection="1">
      <alignment horizontal="center" vertical="center"/>
      <protection hidden="1"/>
    </xf>
    <xf numFmtId="0" fontId="63" fillId="0" borderId="21" xfId="0" applyFont="1" applyBorder="1" applyAlignment="1" applyProtection="1">
      <alignment horizontal="center" vertical="center"/>
      <protection hidden="1"/>
    </xf>
    <xf numFmtId="0" fontId="63" fillId="0" borderId="23" xfId="0" applyFont="1" applyBorder="1" applyAlignment="1" applyProtection="1">
      <alignment horizontal="center" vertical="center"/>
      <protection hidden="1"/>
    </xf>
    <xf numFmtId="0" fontId="63" fillId="5" borderId="68" xfId="0" applyFont="1" applyFill="1" applyBorder="1" applyAlignment="1" applyProtection="1">
      <alignment horizontal="center"/>
      <protection locked="0"/>
    </xf>
    <xf numFmtId="0" fontId="63" fillId="5" borderId="69" xfId="0" applyFont="1" applyFill="1" applyBorder="1" applyAlignment="1" applyProtection="1">
      <alignment horizontal="center"/>
      <protection locked="0"/>
    </xf>
    <xf numFmtId="0" fontId="63" fillId="5" borderId="70" xfId="0" applyFont="1" applyFill="1" applyBorder="1" applyAlignment="1" applyProtection="1">
      <alignment horizontal="center"/>
      <protection locked="0"/>
    </xf>
    <xf numFmtId="0" fontId="63" fillId="17" borderId="68" xfId="0" applyFont="1" applyFill="1" applyBorder="1" applyAlignment="1" applyProtection="1">
      <alignment horizontal="center"/>
      <protection locked="0"/>
    </xf>
    <xf numFmtId="0" fontId="63" fillId="17" borderId="69" xfId="0" applyFont="1" applyFill="1" applyBorder="1" applyAlignment="1" applyProtection="1">
      <alignment horizontal="center"/>
      <protection locked="0"/>
    </xf>
    <xf numFmtId="0" fontId="63" fillId="17" borderId="70" xfId="0" applyFont="1" applyFill="1" applyBorder="1" applyAlignment="1" applyProtection="1">
      <alignment horizontal="center"/>
      <protection locked="0"/>
    </xf>
    <xf numFmtId="0" fontId="63" fillId="0" borderId="47" xfId="0" applyFont="1" applyBorder="1" applyAlignment="1" applyProtection="1">
      <alignment horizontal="center" vertical="center"/>
      <protection hidden="1"/>
    </xf>
    <xf numFmtId="0" fontId="63" fillId="0" borderId="53" xfId="0" applyFont="1" applyBorder="1" applyAlignment="1" applyProtection="1">
      <alignment horizontal="center" vertical="center"/>
      <protection hidden="1"/>
    </xf>
    <xf numFmtId="0" fontId="63" fillId="0" borderId="48" xfId="0" applyFont="1" applyBorder="1" applyAlignment="1" applyProtection="1">
      <alignment horizontal="center" vertical="center"/>
      <protection hidden="1"/>
    </xf>
    <xf numFmtId="0" fontId="63" fillId="0" borderId="61" xfId="0" applyFont="1" applyBorder="1" applyAlignment="1" applyProtection="1">
      <alignment horizontal="center" vertical="center"/>
      <protection hidden="1"/>
    </xf>
    <xf numFmtId="0" fontId="63" fillId="0" borderId="62" xfId="0" applyFont="1" applyBorder="1" applyAlignment="1" applyProtection="1">
      <alignment horizontal="center" vertical="center"/>
      <protection hidden="1"/>
    </xf>
    <xf numFmtId="0" fontId="63" fillId="0" borderId="63" xfId="0" applyFont="1" applyBorder="1" applyAlignment="1" applyProtection="1">
      <alignment horizontal="center" vertical="center"/>
      <protection hidden="1"/>
    </xf>
    <xf numFmtId="0" fontId="63" fillId="0" borderId="64" xfId="0" applyFont="1" applyBorder="1" applyAlignment="1" applyProtection="1">
      <alignment horizontal="center" vertical="center"/>
      <protection hidden="1"/>
    </xf>
    <xf numFmtId="0" fontId="63" fillId="0" borderId="65" xfId="0" applyFont="1" applyBorder="1" applyAlignment="1" applyProtection="1">
      <alignment horizontal="center" vertical="center"/>
      <protection hidden="1"/>
    </xf>
    <xf numFmtId="0" fontId="54" fillId="0" borderId="21" xfId="0" applyFont="1" applyBorder="1" applyAlignment="1" applyProtection="1">
      <alignment horizontal="center" wrapText="1"/>
      <protection hidden="1"/>
    </xf>
    <xf numFmtId="0" fontId="54" fillId="0" borderId="22" xfId="0" applyFont="1" applyBorder="1" applyAlignment="1" applyProtection="1">
      <alignment horizontal="center" wrapText="1"/>
      <protection hidden="1"/>
    </xf>
    <xf numFmtId="0" fontId="54" fillId="0" borderId="23" xfId="0" applyFont="1" applyBorder="1" applyAlignment="1" applyProtection="1">
      <alignment horizontal="center" wrapText="1"/>
      <protection hidden="1"/>
    </xf>
    <xf numFmtId="0" fontId="75" fillId="0" borderId="68" xfId="0" applyFont="1" applyFill="1" applyBorder="1" applyAlignment="1" applyProtection="1">
      <alignment horizontal="center"/>
      <protection hidden="1"/>
    </xf>
    <xf numFmtId="0" fontId="75" fillId="0" borderId="69" xfId="0" applyFont="1" applyFill="1" applyBorder="1" applyAlignment="1" applyProtection="1">
      <alignment horizontal="center"/>
      <protection hidden="1"/>
    </xf>
    <xf numFmtId="0" fontId="75" fillId="0" borderId="70" xfId="0" applyFont="1" applyFill="1" applyBorder="1" applyAlignment="1" applyProtection="1">
      <alignment horizontal="center"/>
      <protection hidden="1"/>
    </xf>
    <xf numFmtId="0" fontId="56" fillId="4" borderId="0" xfId="0" applyFont="1" applyFill="1" applyAlignment="1" applyProtection="1">
      <alignment horizontal="center" vertical="center"/>
      <protection hidden="1"/>
    </xf>
    <xf numFmtId="3" fontId="54" fillId="0" borderId="59" xfId="0" applyNumberFormat="1" applyFont="1" applyBorder="1" applyAlignment="1" applyProtection="1">
      <alignment horizontal="right"/>
      <protection hidden="1"/>
    </xf>
    <xf numFmtId="3" fontId="54" fillId="0" borderId="23" xfId="0" applyNumberFormat="1" applyFont="1" applyBorder="1" applyAlignment="1" applyProtection="1">
      <alignment horizontal="right"/>
      <protection hidden="1"/>
    </xf>
    <xf numFmtId="3" fontId="54" fillId="0" borderId="21" xfId="0" applyNumberFormat="1" applyFont="1" applyBorder="1" applyAlignment="1" applyProtection="1">
      <alignment horizontal="right"/>
      <protection hidden="1"/>
    </xf>
    <xf numFmtId="167" fontId="54" fillId="22" borderId="55" xfId="1" applyNumberFormat="1" applyFont="1" applyFill="1" applyBorder="1" applyAlignment="1" applyProtection="1">
      <alignment horizontal="center"/>
      <protection hidden="1"/>
    </xf>
    <xf numFmtId="167" fontId="54" fillId="22" borderId="0" xfId="1" applyNumberFormat="1" applyFont="1" applyFill="1" applyBorder="1" applyAlignment="1" applyProtection="1">
      <alignment horizontal="center"/>
      <protection hidden="1"/>
    </xf>
    <xf numFmtId="167" fontId="54" fillId="22" borderId="49" xfId="1" applyNumberFormat="1" applyFont="1" applyFill="1" applyBorder="1" applyAlignment="1" applyProtection="1">
      <alignment horizontal="center"/>
      <protection hidden="1"/>
    </xf>
    <xf numFmtId="167" fontId="54" fillId="22" borderId="54" xfId="1" applyNumberFormat="1" applyFont="1" applyFill="1" applyBorder="1" applyAlignment="1" applyProtection="1">
      <alignment horizontal="center"/>
      <protection hidden="1"/>
    </xf>
    <xf numFmtId="10" fontId="54" fillId="22" borderId="55" xfId="1" applyNumberFormat="1" applyFont="1" applyFill="1" applyBorder="1" applyAlignment="1" applyProtection="1">
      <alignment horizontal="center"/>
      <protection hidden="1"/>
    </xf>
    <xf numFmtId="10" fontId="54" fillId="22" borderId="0" xfId="1" applyNumberFormat="1" applyFont="1" applyFill="1" applyBorder="1" applyAlignment="1" applyProtection="1">
      <alignment horizontal="center"/>
      <protection hidden="1"/>
    </xf>
    <xf numFmtId="10" fontId="54" fillId="22" borderId="49" xfId="1" applyNumberFormat="1" applyFont="1" applyFill="1" applyBorder="1" applyAlignment="1" applyProtection="1">
      <alignment horizontal="center"/>
      <protection hidden="1"/>
    </xf>
    <xf numFmtId="10" fontId="54" fillId="22" borderId="54" xfId="1" applyNumberFormat="1" applyFont="1" applyFill="1" applyBorder="1" applyAlignment="1" applyProtection="1">
      <alignment horizontal="center"/>
      <protection hidden="1"/>
    </xf>
    <xf numFmtId="10" fontId="54" fillId="22" borderId="76" xfId="1" applyNumberFormat="1" applyFont="1" applyFill="1" applyBorder="1" applyAlignment="1" applyProtection="1">
      <alignment horizontal="center"/>
      <protection hidden="1"/>
    </xf>
    <xf numFmtId="167" fontId="54" fillId="22" borderId="50" xfId="1" applyNumberFormat="1" applyFont="1" applyFill="1" applyBorder="1" applyAlignment="1" applyProtection="1">
      <alignment horizontal="center"/>
      <protection hidden="1"/>
    </xf>
    <xf numFmtId="0" fontId="54" fillId="0" borderId="21" xfId="0" applyFont="1" applyFill="1" applyBorder="1" applyAlignment="1" applyProtection="1">
      <alignment horizontal="center" vertical="center" wrapText="1"/>
      <protection hidden="1"/>
    </xf>
    <xf numFmtId="0" fontId="54" fillId="0" borderId="22" xfId="0" applyFont="1" applyFill="1" applyBorder="1" applyAlignment="1" applyProtection="1">
      <alignment horizontal="center" vertical="center" wrapText="1"/>
      <protection hidden="1"/>
    </xf>
    <xf numFmtId="0" fontId="54" fillId="0" borderId="23" xfId="0" applyFont="1" applyFill="1" applyBorder="1" applyAlignment="1" applyProtection="1">
      <alignment horizontal="center" vertical="center" wrapText="1"/>
      <protection hidden="1"/>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xf numFmtId="167" fontId="54" fillId="22" borderId="47" xfId="1" applyNumberFormat="1" applyFont="1" applyFill="1" applyBorder="1" applyAlignment="1" applyProtection="1">
      <alignment horizontal="center"/>
      <protection hidden="1"/>
    </xf>
    <xf numFmtId="167" fontId="54" fillId="22" borderId="53" xfId="1" applyNumberFormat="1" applyFont="1" applyFill="1" applyBorder="1" applyAlignment="1" applyProtection="1">
      <alignment horizontal="center"/>
      <protection hidden="1"/>
    </xf>
    <xf numFmtId="167" fontId="54" fillId="22" borderId="48" xfId="1" applyNumberFormat="1" applyFont="1" applyFill="1" applyBorder="1" applyAlignment="1" applyProtection="1">
      <alignment horizontal="center"/>
      <protection hidden="1"/>
    </xf>
    <xf numFmtId="167" fontId="54" fillId="22" borderId="60" xfId="1" applyNumberFormat="1" applyFont="1" applyFill="1" applyBorder="1" applyAlignment="1" applyProtection="1">
      <alignment horizontal="center"/>
      <protection hidden="1"/>
    </xf>
    <xf numFmtId="167" fontId="54" fillId="22" borderId="21" xfId="1" applyNumberFormat="1" applyFont="1" applyFill="1" applyBorder="1" applyAlignment="1" applyProtection="1">
      <alignment horizontal="center"/>
      <protection hidden="1"/>
    </xf>
    <xf numFmtId="167" fontId="54" fillId="22" borderId="23" xfId="1" applyNumberFormat="1" applyFont="1" applyFill="1" applyBorder="1" applyAlignment="1" applyProtection="1">
      <alignment horizontal="center"/>
      <protection hidden="1"/>
    </xf>
    <xf numFmtId="0" fontId="63" fillId="5" borderId="0" xfId="0" applyFont="1" applyFill="1" applyBorder="1" applyAlignment="1" applyProtection="1">
      <alignment horizontal="center"/>
    </xf>
    <xf numFmtId="0" fontId="63" fillId="17" borderId="0" xfId="0" applyFont="1" applyFill="1" applyBorder="1" applyAlignment="1" applyProtection="1">
      <alignment horizontal="center"/>
    </xf>
    <xf numFmtId="0" fontId="4" fillId="4" borderId="0" xfId="0" applyFont="1" applyFill="1" applyAlignment="1" applyProtection="1">
      <alignment horizontal="center" vertical="center"/>
      <protection hidden="1"/>
    </xf>
    <xf numFmtId="0" fontId="52" fillId="5" borderId="68" xfId="0" applyFont="1" applyFill="1" applyBorder="1" applyAlignment="1" applyProtection="1">
      <alignment horizontal="center"/>
      <protection locked="0"/>
    </xf>
    <xf numFmtId="0" fontId="52" fillId="5" borderId="69" xfId="0" applyFont="1" applyFill="1" applyBorder="1" applyAlignment="1" applyProtection="1">
      <alignment horizontal="center"/>
      <protection locked="0"/>
    </xf>
    <xf numFmtId="0" fontId="52" fillId="5" borderId="70" xfId="0" applyFont="1" applyFill="1" applyBorder="1" applyAlignment="1" applyProtection="1">
      <alignment horizontal="center"/>
      <protection locked="0"/>
    </xf>
    <xf numFmtId="0" fontId="54" fillId="0" borderId="21" xfId="0" applyFont="1" applyBorder="1" applyAlignment="1" applyProtection="1">
      <alignment horizontal="center" vertical="center" wrapText="1"/>
      <protection hidden="1"/>
    </xf>
    <xf numFmtId="0" fontId="54" fillId="0" borderId="22" xfId="0" applyFont="1" applyBorder="1" applyAlignment="1" applyProtection="1">
      <alignment horizontal="center" vertical="center" wrapText="1"/>
      <protection hidden="1"/>
    </xf>
    <xf numFmtId="0" fontId="54" fillId="0" borderId="23" xfId="0" applyFont="1" applyBorder="1" applyAlignment="1" applyProtection="1">
      <alignment horizontal="center" vertical="center" wrapText="1"/>
      <protection hidden="1"/>
    </xf>
    <xf numFmtId="3" fontId="54" fillId="0" borderId="49" xfId="0" applyNumberFormat="1" applyFont="1" applyBorder="1" applyAlignment="1" applyProtection="1">
      <alignment horizontal="right"/>
      <protection hidden="1"/>
    </xf>
    <xf numFmtId="3" fontId="54" fillId="0" borderId="50" xfId="0" applyNumberFormat="1" applyFont="1" applyBorder="1" applyAlignment="1" applyProtection="1">
      <alignment horizontal="right"/>
      <protection hidden="1"/>
    </xf>
    <xf numFmtId="0" fontId="50" fillId="2" borderId="0" xfId="0" applyFont="1" applyFill="1" applyAlignment="1" applyProtection="1">
      <alignment horizontal="left" vertical="justify" wrapText="1"/>
      <protection hidden="1"/>
    </xf>
    <xf numFmtId="0" fontId="50" fillId="2" borderId="0" xfId="0" applyFont="1" applyFill="1" applyAlignment="1" applyProtection="1">
      <alignment horizontal="justify" vertical="center" wrapText="1"/>
      <protection hidden="1"/>
    </xf>
    <xf numFmtId="0" fontId="90" fillId="35" borderId="0" xfId="0" applyFont="1" applyFill="1" applyAlignment="1" applyProtection="1">
      <alignment horizontal="right"/>
      <protection hidden="1"/>
    </xf>
    <xf numFmtId="0" fontId="50" fillId="0" borderId="0" xfId="0" applyFont="1" applyAlignment="1" applyProtection="1">
      <alignment horizontal="left" vertical="center" wrapText="1"/>
      <protection hidden="1"/>
    </xf>
    <xf numFmtId="0" fontId="89" fillId="35" borderId="0" xfId="0" applyFont="1" applyFill="1" applyAlignment="1" applyProtection="1">
      <alignment horizontal="left"/>
      <protection hidden="1"/>
    </xf>
    <xf numFmtId="0" fontId="53" fillId="2" borderId="0" xfId="0" applyFont="1" applyFill="1" applyAlignment="1" applyProtection="1">
      <alignment horizontal="justify" vertical="center" wrapText="1"/>
      <protection hidden="1"/>
    </xf>
    <xf numFmtId="0" fontId="50" fillId="2" borderId="0" xfId="0" applyFont="1" applyFill="1" applyAlignment="1" applyProtection="1">
      <alignment horizontal="left" vertical="center" wrapText="1"/>
      <protection hidden="1"/>
    </xf>
    <xf numFmtId="0" fontId="50" fillId="2" borderId="0" xfId="0" applyFont="1" applyFill="1" applyAlignment="1" applyProtection="1">
      <alignment horizontal="center" vertical="justify" wrapText="1"/>
      <protection hidden="1"/>
    </xf>
    <xf numFmtId="0" fontId="50" fillId="0" borderId="0" xfId="0" applyFont="1" applyAlignment="1" applyProtection="1">
      <alignment horizontal="justify" vertical="center" wrapText="1"/>
      <protection hidden="1"/>
    </xf>
    <xf numFmtId="0" fontId="54" fillId="2" borderId="0" xfId="0" applyFont="1" applyFill="1" applyAlignment="1" applyProtection="1">
      <alignment horizontal="justify" vertical="center" wrapText="1"/>
      <protection hidden="1"/>
    </xf>
    <xf numFmtId="0" fontId="92" fillId="2" borderId="0" xfId="0" applyFont="1" applyFill="1" applyAlignment="1" applyProtection="1">
      <alignment horizontal="left" wrapText="1"/>
      <protection hidden="1"/>
    </xf>
    <xf numFmtId="0" fontId="83" fillId="2" borderId="0" xfId="0" applyFont="1" applyFill="1" applyAlignment="1" applyProtection="1">
      <alignment horizontal="left" vertical="center" wrapText="1"/>
      <protection hidden="1"/>
    </xf>
    <xf numFmtId="0" fontId="50" fillId="22" borderId="0" xfId="0" applyFont="1" applyFill="1" applyAlignment="1" applyProtection="1">
      <alignment horizontal="left" vertical="center" wrapText="1"/>
      <protection hidden="1"/>
    </xf>
    <xf numFmtId="0" fontId="50" fillId="0" borderId="0" xfId="0" applyFont="1" applyBorder="1" applyAlignment="1" applyProtection="1">
      <alignment horizontal="justify" vertical="center" wrapText="1"/>
      <protection hidden="1"/>
    </xf>
    <xf numFmtId="0" fontId="89" fillId="35" borderId="0" xfId="0" applyFont="1" applyFill="1" applyAlignment="1" applyProtection="1">
      <alignment horizontal="left" vertical="center"/>
      <protection hidden="1"/>
    </xf>
    <xf numFmtId="0" fontId="50" fillId="0" borderId="31" xfId="0" applyFont="1" applyBorder="1" applyAlignment="1" applyProtection="1">
      <alignment horizontal="center"/>
      <protection hidden="1"/>
    </xf>
    <xf numFmtId="0" fontId="50" fillId="0" borderId="32" xfId="0" applyFont="1" applyBorder="1" applyAlignment="1" applyProtection="1">
      <alignment horizontal="center"/>
      <protection hidden="1"/>
    </xf>
    <xf numFmtId="0" fontId="50" fillId="0" borderId="33" xfId="0" applyFont="1" applyBorder="1" applyAlignment="1" applyProtection="1">
      <alignment horizontal="center"/>
      <protection hidden="1"/>
    </xf>
    <xf numFmtId="0" fontId="99" fillId="2" borderId="0" xfId="0" applyFont="1" applyFill="1" applyAlignment="1" applyProtection="1">
      <alignment horizontal="left" vertical="center" wrapText="1"/>
      <protection hidden="1"/>
    </xf>
    <xf numFmtId="0" fontId="98" fillId="2" borderId="0" xfId="0" applyFont="1" applyFill="1" applyAlignment="1" applyProtection="1">
      <alignment horizontal="left" vertical="center" wrapText="1"/>
      <protection hidden="1"/>
    </xf>
    <xf numFmtId="0" fontId="50" fillId="2" borderId="0" xfId="0" applyFont="1" applyFill="1" applyAlignment="1" applyProtection="1">
      <alignment horizontal="justify" vertical="top" wrapText="1"/>
      <protection hidden="1"/>
    </xf>
    <xf numFmtId="0" fontId="90" fillId="35" borderId="0" xfId="0" applyFont="1" applyFill="1" applyAlignment="1" applyProtection="1">
      <alignment horizontal="right" vertical="center"/>
      <protection hidden="1"/>
    </xf>
    <xf numFmtId="0" fontId="75" fillId="2" borderId="0" xfId="0" applyFont="1" applyFill="1" applyAlignment="1" applyProtection="1">
      <alignment horizontal="left" vertical="center" wrapText="1"/>
      <protection hidden="1"/>
    </xf>
    <xf numFmtId="0" fontId="50" fillId="0" borderId="0" xfId="0" applyFont="1" applyAlignment="1" applyProtection="1">
      <alignment horizontal="justify" vertical="top" wrapText="1"/>
      <protection hidden="1"/>
    </xf>
    <xf numFmtId="0" fontId="50" fillId="0" borderId="0" xfId="0" applyFont="1" applyAlignment="1" applyProtection="1">
      <alignment horizontal="left" wrapText="1"/>
      <protection hidden="1"/>
    </xf>
    <xf numFmtId="0" fontId="50" fillId="0" borderId="29" xfId="0" applyFont="1" applyBorder="1" applyAlignment="1" applyProtection="1">
      <alignment horizontal="center"/>
      <protection hidden="1"/>
    </xf>
    <xf numFmtId="0" fontId="50" fillId="0" borderId="0" xfId="0" applyFont="1" applyBorder="1" applyAlignment="1" applyProtection="1">
      <alignment horizontal="center"/>
      <protection hidden="1"/>
    </xf>
    <xf numFmtId="0" fontId="50" fillId="0" borderId="30" xfId="0" applyFont="1" applyBorder="1" applyAlignment="1" applyProtection="1">
      <alignment horizontal="center"/>
      <protection hidden="1"/>
    </xf>
    <xf numFmtId="0" fontId="50" fillId="0" borderId="0" xfId="0" quotePrefix="1" applyFont="1" applyBorder="1" applyAlignment="1" applyProtection="1">
      <alignment horizontal="justify" vertical="center" wrapText="1"/>
      <protection hidden="1"/>
    </xf>
    <xf numFmtId="0" fontId="50" fillId="2" borderId="0" xfId="0" applyFont="1" applyFill="1" applyAlignment="1" applyProtection="1">
      <alignment horizontal="left" vertical="top" wrapText="1"/>
      <protection hidden="1"/>
    </xf>
    <xf numFmtId="49" fontId="14" fillId="0" borderId="0" xfId="0" applyNumberFormat="1" applyFont="1" applyAlignment="1">
      <alignment horizontal="left" vertical="center"/>
    </xf>
    <xf numFmtId="0" fontId="0" fillId="0" borderId="0" xfId="0" applyAlignment="1">
      <alignment horizontal="left" wrapText="1"/>
    </xf>
    <xf numFmtId="0" fontId="126" fillId="0" borderId="68" xfId="0" applyFont="1" applyBorder="1" applyAlignment="1" applyProtection="1">
      <alignment horizontal="left"/>
      <protection locked="0"/>
    </xf>
    <xf numFmtId="0" fontId="126" fillId="0" borderId="70" xfId="0" applyFont="1" applyBorder="1" applyAlignment="1" applyProtection="1">
      <alignment horizontal="left"/>
      <protection locked="0"/>
    </xf>
    <xf numFmtId="0" fontId="34" fillId="0" borderId="0" xfId="0" applyFont="1" applyBorder="1" applyAlignment="1">
      <alignment horizontal="left" vertical="center" wrapText="1"/>
    </xf>
    <xf numFmtId="0" fontId="153" fillId="0" borderId="0" xfId="0" applyFont="1" applyFill="1" applyBorder="1" applyAlignment="1">
      <alignment horizontal="left" vertical="center" wrapText="1"/>
    </xf>
    <xf numFmtId="0" fontId="34" fillId="0" borderId="0" xfId="0" applyFont="1" applyFill="1" applyBorder="1" applyAlignment="1">
      <alignment horizontal="left" wrapText="1"/>
    </xf>
    <xf numFmtId="0" fontId="137" fillId="0" borderId="0" xfId="0" applyFont="1" applyAlignment="1">
      <alignment horizontal="center" wrapText="1"/>
    </xf>
    <xf numFmtId="0" fontId="68" fillId="0" borderId="41" xfId="0" applyFont="1" applyFill="1" applyBorder="1" applyAlignment="1">
      <alignment vertical="center"/>
    </xf>
    <xf numFmtId="0" fontId="68" fillId="0" borderId="44" xfId="0" applyFont="1" applyFill="1" applyBorder="1" applyAlignment="1">
      <alignment vertical="center"/>
    </xf>
    <xf numFmtId="0" fontId="68" fillId="0" borderId="42" xfId="0" applyFont="1" applyFill="1" applyBorder="1" applyAlignment="1">
      <alignment horizontal="center" vertical="center" wrapText="1"/>
    </xf>
    <xf numFmtId="0" fontId="68" fillId="0" borderId="43" xfId="0" applyFont="1" applyFill="1" applyBorder="1" applyAlignment="1">
      <alignment horizontal="center" vertical="center" wrapText="1"/>
    </xf>
    <xf numFmtId="0" fontId="69" fillId="0" borderId="0" xfId="0" applyFont="1" applyFill="1" applyAlignment="1">
      <alignment horizontal="left" vertical="center"/>
    </xf>
    <xf numFmtId="0" fontId="46" fillId="0" borderId="18" xfId="4" applyFont="1" applyBorder="1" applyAlignment="1">
      <alignment horizontal="center" vertical="center" wrapText="1"/>
    </xf>
    <xf numFmtId="0" fontId="46" fillId="0" borderId="19" xfId="4" applyFont="1" applyBorder="1" applyAlignment="1">
      <alignment horizontal="center" vertical="center" wrapText="1"/>
    </xf>
    <xf numFmtId="0" fontId="4" fillId="55" borderId="0" xfId="0" applyFont="1" applyFill="1" applyAlignment="1" applyProtection="1">
      <alignment horizontal="center" vertical="center"/>
      <protection hidden="1"/>
    </xf>
    <xf numFmtId="0" fontId="86" fillId="0" borderId="0" xfId="12" applyFont="1" applyFill="1" applyAlignment="1" applyProtection="1">
      <alignment horizontal="center" vertical="center"/>
      <protection hidden="1"/>
    </xf>
    <xf numFmtId="0" fontId="102" fillId="54" borderId="4" xfId="0" applyFont="1" applyFill="1" applyBorder="1" applyAlignment="1">
      <alignment horizontal="center" vertical="center"/>
    </xf>
    <xf numFmtId="0" fontId="102" fillId="54" borderId="0" xfId="0" applyFont="1" applyFill="1" applyBorder="1" applyAlignment="1">
      <alignment horizontal="center" vertical="center"/>
    </xf>
    <xf numFmtId="0" fontId="52" fillId="0" borderId="0" xfId="0" applyFont="1" applyAlignment="1" applyProtection="1">
      <alignment horizontal="left" wrapText="1"/>
      <protection hidden="1"/>
    </xf>
    <xf numFmtId="10" fontId="54" fillId="22" borderId="50" xfId="1" applyNumberFormat="1" applyFont="1" applyFill="1" applyBorder="1" applyAlignment="1" applyProtection="1">
      <alignment horizontal="center"/>
      <protection hidden="1"/>
    </xf>
    <xf numFmtId="10" fontId="54" fillId="22" borderId="60" xfId="1" applyNumberFormat="1" applyFont="1" applyFill="1" applyBorder="1" applyAlignment="1" applyProtection="1">
      <alignment horizontal="center"/>
      <protection hidden="1"/>
    </xf>
    <xf numFmtId="0" fontId="58" fillId="0" borderId="21" xfId="0" applyFont="1" applyBorder="1" applyAlignment="1" applyProtection="1">
      <alignment horizontal="center" vertical="center" wrapText="1"/>
      <protection hidden="1"/>
    </xf>
    <xf numFmtId="0" fontId="58" fillId="0" borderId="23" xfId="0" applyFont="1" applyBorder="1" applyAlignment="1" applyProtection="1">
      <alignment horizontal="center" vertical="center" wrapText="1"/>
      <protection hidden="1"/>
    </xf>
    <xf numFmtId="0" fontId="58" fillId="0" borderId="68" xfId="0" applyFont="1" applyBorder="1" applyAlignment="1" applyProtection="1">
      <alignment vertical="center" wrapText="1"/>
      <protection locked="0"/>
    </xf>
    <xf numFmtId="0" fontId="58" fillId="0" borderId="70" xfId="0" applyFont="1" applyBorder="1" applyAlignment="1" applyProtection="1">
      <alignment vertical="center" wrapText="1"/>
      <protection locked="0"/>
    </xf>
    <xf numFmtId="0" fontId="88" fillId="22" borderId="0" xfId="0" applyFont="1" applyFill="1" applyBorder="1" applyAlignment="1" applyProtection="1">
      <alignment vertical="center" wrapText="1"/>
      <protection locked="0"/>
    </xf>
    <xf numFmtId="0" fontId="58" fillId="0" borderId="68" xfId="0" applyFont="1" applyBorder="1" applyAlignment="1" applyProtection="1">
      <alignment horizontal="left"/>
      <protection locked="0" hidden="1"/>
    </xf>
    <xf numFmtId="0" fontId="58" fillId="0" borderId="69" xfId="0" applyFont="1" applyBorder="1" applyAlignment="1" applyProtection="1">
      <alignment horizontal="left"/>
      <protection locked="0" hidden="1"/>
    </xf>
    <xf numFmtId="0" fontId="58" fillId="0" borderId="70" xfId="0" applyFont="1" applyBorder="1" applyAlignment="1" applyProtection="1">
      <alignment horizontal="left"/>
      <protection locked="0" hidden="1"/>
    </xf>
    <xf numFmtId="3" fontId="58" fillId="0" borderId="71" xfId="0" applyNumberFormat="1" applyFont="1" applyBorder="1" applyAlignment="1" applyProtection="1">
      <alignment horizontal="right"/>
      <protection hidden="1"/>
    </xf>
    <xf numFmtId="3" fontId="58" fillId="0" borderId="24" xfId="0" applyNumberFormat="1" applyFont="1" applyBorder="1" applyAlignment="1" applyProtection="1">
      <alignment horizontal="right"/>
      <protection hidden="1"/>
    </xf>
    <xf numFmtId="0" fontId="58" fillId="0" borderId="20" xfId="0" applyFont="1" applyBorder="1" applyAlignment="1" applyProtection="1">
      <alignment horizontal="center" wrapText="1"/>
      <protection hidden="1"/>
    </xf>
    <xf numFmtId="3" fontId="58" fillId="0" borderId="67" xfId="0" applyNumberFormat="1" applyFont="1" applyBorder="1" applyAlignment="1" applyProtection="1">
      <alignment horizontal="right"/>
      <protection hidden="1"/>
    </xf>
    <xf numFmtId="3" fontId="58" fillId="0" borderId="25" xfId="0" applyNumberFormat="1" applyFont="1" applyBorder="1" applyAlignment="1" applyProtection="1">
      <alignment horizontal="right"/>
      <protection hidden="1"/>
    </xf>
    <xf numFmtId="0" fontId="54" fillId="0" borderId="47" xfId="0" applyFont="1" applyFill="1" applyBorder="1" applyAlignment="1" applyProtection="1">
      <alignment horizontal="center" vertical="center" wrapText="1"/>
      <protection hidden="1"/>
    </xf>
    <xf numFmtId="0" fontId="54" fillId="0" borderId="48" xfId="0" applyFont="1" applyFill="1" applyBorder="1" applyAlignment="1" applyProtection="1">
      <alignment horizontal="center" vertical="center" wrapText="1"/>
      <protection hidden="1"/>
    </xf>
    <xf numFmtId="0" fontId="54" fillId="0" borderId="49" xfId="0" applyFont="1" applyFill="1" applyBorder="1" applyAlignment="1" applyProtection="1">
      <alignment horizontal="center" vertical="center" wrapText="1"/>
      <protection hidden="1"/>
    </xf>
    <xf numFmtId="0" fontId="54" fillId="0" borderId="50" xfId="0" applyFont="1" applyFill="1" applyBorder="1" applyAlignment="1" applyProtection="1">
      <alignment horizontal="center" vertical="center" wrapText="1"/>
      <protection hidden="1"/>
    </xf>
    <xf numFmtId="0" fontId="54" fillId="0" borderId="53" xfId="0" applyFont="1" applyFill="1" applyBorder="1" applyAlignment="1" applyProtection="1">
      <alignment horizontal="center" vertical="center" wrapText="1"/>
      <protection hidden="1"/>
    </xf>
    <xf numFmtId="0" fontId="54" fillId="0" borderId="55" xfId="0" applyFont="1" applyFill="1" applyBorder="1" applyAlignment="1" applyProtection="1">
      <alignment horizontal="center" vertical="center" wrapText="1"/>
      <protection hidden="1"/>
    </xf>
    <xf numFmtId="0" fontId="54" fillId="0" borderId="0" xfId="0" applyFont="1" applyFill="1" applyBorder="1" applyAlignment="1" applyProtection="1">
      <alignment horizontal="center" vertical="center" wrapText="1"/>
      <protection hidden="1"/>
    </xf>
    <xf numFmtId="0" fontId="54" fillId="0" borderId="60" xfId="0" applyFont="1" applyFill="1" applyBorder="1" applyAlignment="1" applyProtection="1">
      <alignment horizontal="center" vertical="center" wrapText="1"/>
      <protection hidden="1"/>
    </xf>
    <xf numFmtId="0" fontId="54" fillId="0" borderId="81" xfId="0" applyFont="1" applyFill="1" applyBorder="1" applyAlignment="1" applyProtection="1">
      <alignment horizontal="center" vertical="center" wrapText="1"/>
      <protection hidden="1"/>
    </xf>
    <xf numFmtId="0" fontId="54" fillId="0" borderId="82" xfId="0" applyFont="1" applyFill="1" applyBorder="1" applyAlignment="1" applyProtection="1">
      <alignment horizontal="center" vertical="center" wrapText="1"/>
      <protection hidden="1"/>
    </xf>
    <xf numFmtId="0" fontId="54" fillId="0" borderId="83" xfId="0" applyFont="1" applyFill="1" applyBorder="1" applyAlignment="1" applyProtection="1">
      <alignment horizontal="center" vertical="center" wrapText="1"/>
      <protection hidden="1"/>
    </xf>
    <xf numFmtId="0" fontId="54" fillId="0" borderId="84" xfId="0" applyFont="1" applyFill="1" applyBorder="1" applyAlignment="1" applyProtection="1">
      <alignment horizontal="center" vertical="center" wrapText="1"/>
      <protection hidden="1"/>
    </xf>
    <xf numFmtId="0" fontId="156" fillId="2" borderId="21" xfId="12" applyFont="1" applyFill="1" applyBorder="1" applyAlignment="1" applyProtection="1">
      <alignment horizontal="left"/>
      <protection hidden="1"/>
    </xf>
    <xf numFmtId="0" fontId="156" fillId="2" borderId="22" xfId="12" applyFont="1" applyFill="1" applyBorder="1" applyAlignment="1" applyProtection="1">
      <alignment horizontal="left"/>
      <protection hidden="1"/>
    </xf>
    <xf numFmtId="9" fontId="54" fillId="5" borderId="21" xfId="1" applyFont="1" applyFill="1" applyBorder="1" applyAlignment="1" applyProtection="1">
      <alignment horizontal="center"/>
      <protection hidden="1"/>
    </xf>
    <xf numFmtId="9" fontId="54" fillId="5" borderId="23" xfId="1" applyFont="1" applyFill="1" applyBorder="1" applyAlignment="1" applyProtection="1">
      <alignment horizontal="center"/>
      <protection hidden="1"/>
    </xf>
    <xf numFmtId="10" fontId="54" fillId="22" borderId="21" xfId="1" applyNumberFormat="1" applyFont="1" applyFill="1" applyBorder="1" applyAlignment="1" applyProtection="1">
      <alignment horizontal="center"/>
      <protection hidden="1"/>
    </xf>
    <xf numFmtId="10" fontId="54" fillId="22" borderId="22" xfId="1" applyNumberFormat="1" applyFont="1" applyFill="1" applyBorder="1" applyAlignment="1" applyProtection="1">
      <alignment horizontal="center"/>
      <protection hidden="1"/>
    </xf>
    <xf numFmtId="10" fontId="54" fillId="22" borderId="23" xfId="1" applyNumberFormat="1" applyFont="1" applyFill="1" applyBorder="1" applyAlignment="1" applyProtection="1">
      <alignment horizontal="center"/>
      <protection hidden="1"/>
    </xf>
    <xf numFmtId="9" fontId="54" fillId="17" borderId="21" xfId="1" applyFont="1" applyFill="1" applyBorder="1" applyAlignment="1" applyProtection="1">
      <alignment horizontal="center"/>
      <protection hidden="1"/>
    </xf>
    <xf numFmtId="9" fontId="54" fillId="17" borderId="23" xfId="1" applyFont="1" applyFill="1" applyBorder="1" applyAlignment="1" applyProtection="1">
      <alignment horizontal="center"/>
      <protection hidden="1"/>
    </xf>
    <xf numFmtId="169" fontId="54" fillId="5" borderId="21" xfId="0" applyNumberFormat="1" applyFont="1" applyFill="1" applyBorder="1" applyAlignment="1" applyProtection="1">
      <alignment horizontal="center"/>
      <protection hidden="1"/>
    </xf>
    <xf numFmtId="169" fontId="54" fillId="5" borderId="23" xfId="0" applyNumberFormat="1" applyFont="1" applyFill="1" applyBorder="1" applyAlignment="1" applyProtection="1">
      <alignment horizontal="center"/>
      <protection hidden="1"/>
    </xf>
    <xf numFmtId="169" fontId="54" fillId="17" borderId="21" xfId="0" applyNumberFormat="1" applyFont="1" applyFill="1" applyBorder="1" applyAlignment="1" applyProtection="1">
      <alignment horizontal="center"/>
      <protection hidden="1"/>
    </xf>
    <xf numFmtId="169" fontId="54" fillId="17" borderId="23" xfId="0" applyNumberFormat="1" applyFont="1" applyFill="1" applyBorder="1" applyAlignment="1" applyProtection="1">
      <alignment horizontal="center"/>
      <protection hidden="1"/>
    </xf>
    <xf numFmtId="3" fontId="54" fillId="0" borderId="22" xfId="0" applyNumberFormat="1" applyFont="1" applyBorder="1" applyAlignment="1" applyProtection="1">
      <alignment horizontal="right"/>
      <protection hidden="1"/>
    </xf>
    <xf numFmtId="0" fontId="61" fillId="2" borderId="21" xfId="12" applyFont="1" applyFill="1" applyBorder="1" applyAlignment="1" applyProtection="1">
      <alignment horizontal="left"/>
      <protection hidden="1"/>
    </xf>
    <xf numFmtId="0" fontId="156" fillId="2" borderId="23" xfId="12" applyFont="1" applyFill="1" applyBorder="1" applyAlignment="1" applyProtection="1">
      <alignment horizontal="left"/>
      <protection hidden="1"/>
    </xf>
    <xf numFmtId="3" fontId="61" fillId="0" borderId="21" xfId="0" applyNumberFormat="1" applyFont="1" applyFill="1" applyBorder="1" applyAlignment="1" applyProtection="1">
      <alignment horizontal="right"/>
      <protection hidden="1"/>
    </xf>
    <xf numFmtId="3" fontId="61" fillId="0" borderId="22" xfId="0" applyNumberFormat="1" applyFont="1" applyFill="1" applyBorder="1" applyAlignment="1" applyProtection="1">
      <alignment horizontal="right"/>
      <protection hidden="1"/>
    </xf>
    <xf numFmtId="3" fontId="61" fillId="0" borderId="23" xfId="0" applyNumberFormat="1" applyFont="1" applyFill="1" applyBorder="1" applyAlignment="1" applyProtection="1">
      <alignment horizontal="right"/>
      <protection hidden="1"/>
    </xf>
    <xf numFmtId="0" fontId="158" fillId="0" borderId="0" xfId="12" applyFont="1" applyBorder="1" applyAlignment="1" applyProtection="1">
      <alignment horizontal="left" vertical="center" wrapText="1"/>
      <protection hidden="1"/>
    </xf>
    <xf numFmtId="0" fontId="156" fillId="0" borderId="21" xfId="12" applyFont="1" applyBorder="1" applyAlignment="1" applyProtection="1">
      <alignment horizontal="left" vertical="center"/>
      <protection hidden="1"/>
    </xf>
    <xf numFmtId="0" fontId="156" fillId="0" borderId="22" xfId="12" applyFont="1" applyBorder="1" applyAlignment="1" applyProtection="1">
      <alignment horizontal="left" vertical="center"/>
      <protection hidden="1"/>
    </xf>
    <xf numFmtId="0" fontId="156" fillId="0" borderId="23" xfId="12" applyFont="1" applyBorder="1" applyAlignment="1" applyProtection="1">
      <alignment horizontal="left" vertical="center"/>
      <protection hidden="1"/>
    </xf>
    <xf numFmtId="3" fontId="54" fillId="0" borderId="21" xfId="0" applyNumberFormat="1" applyFont="1" applyFill="1" applyBorder="1" applyAlignment="1" applyProtection="1">
      <alignment horizontal="right"/>
      <protection hidden="1"/>
    </xf>
    <xf numFmtId="3" fontId="54" fillId="0" borderId="22" xfId="0" applyNumberFormat="1" applyFont="1" applyFill="1" applyBorder="1" applyAlignment="1" applyProtection="1">
      <alignment horizontal="right"/>
      <protection hidden="1"/>
    </xf>
    <xf numFmtId="3" fontId="54" fillId="0" borderId="23" xfId="0" applyNumberFormat="1" applyFont="1" applyFill="1" applyBorder="1" applyAlignment="1" applyProtection="1">
      <alignment horizontal="right"/>
      <protection hidden="1"/>
    </xf>
    <xf numFmtId="0" fontId="59" fillId="0" borderId="21" xfId="0" applyFont="1" applyBorder="1" applyAlignment="1" applyProtection="1">
      <alignment horizontal="center" vertical="center"/>
      <protection hidden="1"/>
    </xf>
    <xf numFmtId="0" fontId="59" fillId="0" borderId="22" xfId="0" applyFont="1" applyBorder="1" applyAlignment="1" applyProtection="1">
      <alignment horizontal="center" vertical="center"/>
      <protection hidden="1"/>
    </xf>
    <xf numFmtId="0" fontId="59" fillId="0" borderId="23" xfId="0" applyFont="1" applyBorder="1" applyAlignment="1" applyProtection="1">
      <alignment horizontal="center" vertical="center"/>
      <protection hidden="1"/>
    </xf>
    <xf numFmtId="0" fontId="59" fillId="0" borderId="86" xfId="0" applyFont="1" applyBorder="1" applyAlignment="1" applyProtection="1">
      <alignment horizontal="center" wrapText="1"/>
      <protection hidden="1"/>
    </xf>
    <xf numFmtId="0" fontId="59" fillId="0" borderId="87" xfId="0" applyFont="1" applyBorder="1" applyAlignment="1" applyProtection="1">
      <alignment horizontal="center" wrapText="1"/>
      <protection hidden="1"/>
    </xf>
    <xf numFmtId="0" fontId="59" fillId="0" borderId="88" xfId="0" applyFont="1" applyBorder="1" applyAlignment="1" applyProtection="1">
      <alignment horizontal="center" wrapText="1"/>
      <protection hidden="1"/>
    </xf>
    <xf numFmtId="0" fontId="59" fillId="0" borderId="54" xfId="0" applyFont="1" applyBorder="1" applyAlignment="1" applyProtection="1">
      <alignment horizontal="center" vertical="center"/>
      <protection hidden="1"/>
    </xf>
    <xf numFmtId="0" fontId="59" fillId="0" borderId="50" xfId="0" applyFont="1" applyBorder="1" applyAlignment="1" applyProtection="1">
      <alignment horizontal="center" vertical="center"/>
      <protection hidden="1"/>
    </xf>
    <xf numFmtId="0" fontId="59" fillId="0" borderId="49" xfId="0" applyFont="1" applyBorder="1" applyAlignment="1" applyProtection="1">
      <alignment horizontal="center" wrapText="1"/>
      <protection hidden="1"/>
    </xf>
    <xf numFmtId="0" fontId="59" fillId="0" borderId="54" xfId="0" applyFont="1" applyBorder="1" applyAlignment="1" applyProtection="1">
      <alignment horizontal="center" wrapText="1"/>
      <protection hidden="1"/>
    </xf>
    <xf numFmtId="0" fontId="59" fillId="0" borderId="23" xfId="0" applyFont="1" applyBorder="1" applyAlignment="1" applyProtection="1">
      <alignment horizontal="center" wrapText="1"/>
      <protection hidden="1"/>
    </xf>
    <xf numFmtId="0" fontId="63" fillId="5" borderId="77" xfId="0" applyFont="1" applyFill="1" applyBorder="1" applyAlignment="1" applyProtection="1">
      <alignment horizontal="center"/>
      <protection locked="0"/>
    </xf>
    <xf numFmtId="0" fontId="63" fillId="5" borderId="78" xfId="0" applyFont="1" applyFill="1" applyBorder="1" applyAlignment="1" applyProtection="1">
      <alignment horizontal="center"/>
      <protection locked="0"/>
    </xf>
    <xf numFmtId="0" fontId="63" fillId="5" borderId="79" xfId="0" applyFont="1" applyFill="1" applyBorder="1" applyAlignment="1" applyProtection="1">
      <alignment horizontal="center"/>
      <protection locked="0"/>
    </xf>
    <xf numFmtId="0" fontId="63" fillId="17" borderId="77" xfId="0" applyFont="1" applyFill="1" applyBorder="1" applyAlignment="1" applyProtection="1">
      <alignment horizontal="center"/>
      <protection locked="0"/>
    </xf>
    <xf numFmtId="0" fontId="63" fillId="17" borderId="78" xfId="0" applyFont="1" applyFill="1" applyBorder="1" applyAlignment="1" applyProtection="1">
      <alignment horizontal="center"/>
      <protection locked="0"/>
    </xf>
    <xf numFmtId="0" fontId="63" fillId="17" borderId="79" xfId="0" applyFont="1" applyFill="1" applyBorder="1" applyAlignment="1" applyProtection="1">
      <alignment horizontal="center"/>
      <protection locked="0"/>
    </xf>
    <xf numFmtId="0" fontId="54" fillId="5" borderId="0" xfId="0" applyFont="1" applyFill="1" applyAlignment="1" applyProtection="1">
      <alignment horizontal="left"/>
      <protection hidden="1"/>
    </xf>
    <xf numFmtId="0" fontId="54" fillId="17" borderId="0" xfId="0" applyFont="1" applyFill="1" applyAlignment="1" applyProtection="1">
      <alignment horizontal="left"/>
      <protection hidden="1"/>
    </xf>
    <xf numFmtId="0" fontId="55" fillId="0" borderId="0" xfId="0" applyFont="1" applyFill="1" applyAlignment="1" applyProtection="1">
      <alignment horizontal="right"/>
      <protection hidden="1"/>
    </xf>
    <xf numFmtId="0" fontId="54" fillId="0" borderId="20" xfId="0" applyFont="1" applyBorder="1" applyAlignment="1" applyProtection="1">
      <alignment horizontal="center" vertical="center" wrapText="1"/>
      <protection hidden="1"/>
    </xf>
    <xf numFmtId="0" fontId="59" fillId="0" borderId="21" xfId="0" applyFont="1" applyBorder="1" applyAlignment="1" applyProtection="1">
      <alignment horizontal="center" vertical="center" wrapText="1"/>
      <protection hidden="1"/>
    </xf>
    <xf numFmtId="0" fontId="59" fillId="0" borderId="22" xfId="0" applyFont="1" applyBorder="1" applyAlignment="1" applyProtection="1">
      <alignment horizontal="center" vertical="center" wrapText="1"/>
      <protection hidden="1"/>
    </xf>
    <xf numFmtId="0" fontId="59" fillId="0" borderId="23" xfId="0" applyFont="1" applyBorder="1" applyAlignment="1" applyProtection="1">
      <alignment horizontal="center" vertical="center" wrapText="1"/>
      <protection hidden="1"/>
    </xf>
    <xf numFmtId="3" fontId="54" fillId="0" borderId="20" xfId="0" applyNumberFormat="1" applyFont="1" applyFill="1" applyBorder="1" applyAlignment="1" applyProtection="1">
      <alignment horizontal="center"/>
      <protection hidden="1"/>
    </xf>
    <xf numFmtId="9" fontId="54" fillId="22" borderId="21" xfId="1" applyFont="1" applyFill="1" applyBorder="1" applyAlignment="1" applyProtection="1">
      <alignment horizontal="center"/>
      <protection hidden="1"/>
    </xf>
    <xf numFmtId="9" fontId="54" fillId="22" borderId="22" xfId="1" applyFont="1" applyFill="1" applyBorder="1" applyAlignment="1" applyProtection="1">
      <alignment horizontal="center"/>
      <protection hidden="1"/>
    </xf>
    <xf numFmtId="9" fontId="54" fillId="22" borderId="23" xfId="1" applyFont="1" applyFill="1" applyBorder="1" applyAlignment="1" applyProtection="1">
      <alignment horizontal="center"/>
      <protection hidden="1"/>
    </xf>
    <xf numFmtId="3" fontId="54" fillId="0" borderId="21" xfId="0" applyNumberFormat="1" applyFont="1" applyFill="1" applyBorder="1" applyAlignment="1" applyProtection="1">
      <alignment horizontal="center"/>
      <protection hidden="1"/>
    </xf>
    <xf numFmtId="3" fontId="54" fillId="0" borderId="22" xfId="0" applyNumberFormat="1" applyFont="1" applyFill="1" applyBorder="1" applyAlignment="1" applyProtection="1">
      <alignment horizontal="center"/>
      <protection hidden="1"/>
    </xf>
    <xf numFmtId="3" fontId="54" fillId="0" borderId="23" xfId="0" applyNumberFormat="1" applyFont="1" applyFill="1" applyBorder="1" applyAlignment="1" applyProtection="1">
      <alignment horizontal="center"/>
      <protection hidden="1"/>
    </xf>
    <xf numFmtId="9" fontId="54" fillId="22" borderId="21" xfId="1" applyNumberFormat="1" applyFont="1" applyFill="1" applyBorder="1" applyAlignment="1" applyProtection="1">
      <alignment horizontal="center" vertical="center"/>
      <protection hidden="1"/>
    </xf>
    <xf numFmtId="9" fontId="54" fillId="22" borderId="22" xfId="1" applyNumberFormat="1" applyFont="1" applyFill="1" applyBorder="1" applyAlignment="1" applyProtection="1">
      <alignment horizontal="center" vertical="center"/>
      <protection hidden="1"/>
    </xf>
    <xf numFmtId="9" fontId="54" fillId="22" borderId="23" xfId="1" applyNumberFormat="1" applyFont="1" applyFill="1" applyBorder="1" applyAlignment="1" applyProtection="1">
      <alignment horizontal="center" vertical="center"/>
      <protection hidden="1"/>
    </xf>
    <xf numFmtId="9" fontId="54" fillId="22" borderId="20" xfId="1" applyFont="1" applyFill="1" applyBorder="1" applyAlignment="1" applyProtection="1">
      <alignment horizontal="center" vertical="center"/>
      <protection hidden="1"/>
    </xf>
    <xf numFmtId="3" fontId="54" fillId="0" borderId="20" xfId="0" applyNumberFormat="1" applyFont="1" applyBorder="1" applyAlignment="1" applyProtection="1">
      <alignment horizontal="center"/>
      <protection hidden="1"/>
    </xf>
    <xf numFmtId="3" fontId="54" fillId="0" borderId="21" xfId="0" applyNumberFormat="1" applyFont="1" applyBorder="1" applyAlignment="1" applyProtection="1">
      <alignment horizontal="center"/>
      <protection hidden="1"/>
    </xf>
    <xf numFmtId="3" fontId="54" fillId="0" borderId="22" xfId="0" applyNumberFormat="1" applyFont="1" applyBorder="1" applyAlignment="1" applyProtection="1">
      <alignment horizontal="center"/>
      <protection hidden="1"/>
    </xf>
    <xf numFmtId="3" fontId="54" fillId="0" borderId="23" xfId="0" applyNumberFormat="1" applyFont="1" applyBorder="1" applyAlignment="1" applyProtection="1">
      <alignment horizontal="center"/>
      <protection hidden="1"/>
    </xf>
    <xf numFmtId="0" fontId="54" fillId="0" borderId="23" xfId="0" applyFont="1" applyBorder="1" applyAlignment="1" applyProtection="1">
      <alignment horizontal="center"/>
      <protection hidden="1"/>
    </xf>
    <xf numFmtId="9" fontId="54" fillId="22" borderId="21" xfId="0" applyNumberFormat="1" applyFont="1" applyFill="1" applyBorder="1" applyAlignment="1" applyProtection="1">
      <alignment horizontal="center"/>
      <protection hidden="1"/>
    </xf>
    <xf numFmtId="0" fontId="54" fillId="22" borderId="23" xfId="0" applyFont="1" applyFill="1" applyBorder="1" applyAlignment="1" applyProtection="1">
      <alignment horizontal="center"/>
      <protection hidden="1"/>
    </xf>
    <xf numFmtId="0" fontId="54" fillId="0" borderId="21" xfId="0" applyFont="1" applyBorder="1" applyAlignment="1" applyProtection="1">
      <alignment horizontal="left"/>
      <protection hidden="1"/>
    </xf>
    <xf numFmtId="0" fontId="54" fillId="0" borderId="22" xfId="0" applyFont="1" applyBorder="1" applyAlignment="1" applyProtection="1">
      <alignment horizontal="left"/>
      <protection hidden="1"/>
    </xf>
    <xf numFmtId="0" fontId="54" fillId="0" borderId="23" xfId="0" applyFont="1" applyBorder="1" applyAlignment="1" applyProtection="1">
      <alignment horizontal="left"/>
      <protection hidden="1"/>
    </xf>
    <xf numFmtId="0" fontId="54" fillId="0" borderId="21" xfId="0" applyFont="1" applyBorder="1" applyAlignment="1" applyProtection="1">
      <alignment horizontal="center"/>
      <protection hidden="1"/>
    </xf>
    <xf numFmtId="9" fontId="54" fillId="22" borderId="23" xfId="0" applyNumberFormat="1" applyFont="1" applyFill="1" applyBorder="1" applyAlignment="1" applyProtection="1">
      <alignment horizontal="center"/>
      <protection hidden="1"/>
    </xf>
    <xf numFmtId="1" fontId="54" fillId="2" borderId="21" xfId="0" applyNumberFormat="1" applyFont="1" applyFill="1" applyBorder="1" applyAlignment="1" applyProtection="1">
      <alignment horizontal="center"/>
      <protection hidden="1"/>
    </xf>
    <xf numFmtId="0" fontId="54" fillId="2" borderId="23" xfId="0" applyFont="1" applyFill="1" applyBorder="1" applyAlignment="1" applyProtection="1">
      <alignment horizontal="center"/>
      <protection hidden="1"/>
    </xf>
    <xf numFmtId="0" fontId="54" fillId="2" borderId="21" xfId="0" applyFont="1" applyFill="1" applyBorder="1" applyAlignment="1" applyProtection="1">
      <alignment horizontal="left"/>
      <protection hidden="1"/>
    </xf>
    <xf numFmtId="0" fontId="54" fillId="2" borderId="22" xfId="0" applyFont="1" applyFill="1" applyBorder="1" applyAlignment="1" applyProtection="1">
      <alignment horizontal="left"/>
      <protection hidden="1"/>
    </xf>
    <xf numFmtId="0" fontId="54" fillId="2" borderId="23" xfId="0" applyFont="1" applyFill="1" applyBorder="1" applyAlignment="1" applyProtection="1">
      <alignment horizontal="left"/>
      <protection hidden="1"/>
    </xf>
    <xf numFmtId="1" fontId="54" fillId="0" borderId="21" xfId="0" applyNumberFormat="1" applyFont="1" applyBorder="1" applyAlignment="1" applyProtection="1">
      <alignment horizontal="center"/>
      <protection hidden="1"/>
    </xf>
    <xf numFmtId="0" fontId="54" fillId="21" borderId="21" xfId="0" applyFont="1" applyFill="1" applyBorder="1" applyAlignment="1" applyProtection="1">
      <alignment horizontal="left"/>
      <protection hidden="1"/>
    </xf>
    <xf numFmtId="0" fontId="54" fillId="21" borderId="22" xfId="0" applyFont="1" applyFill="1" applyBorder="1" applyAlignment="1" applyProtection="1">
      <alignment horizontal="left"/>
      <protection hidden="1"/>
    </xf>
    <xf numFmtId="0" fontId="54" fillId="21" borderId="23" xfId="0" applyFont="1" applyFill="1" applyBorder="1" applyAlignment="1" applyProtection="1">
      <alignment horizontal="left"/>
      <protection hidden="1"/>
    </xf>
    <xf numFmtId="1" fontId="54" fillId="21" borderId="21" xfId="0" applyNumberFormat="1" applyFont="1" applyFill="1" applyBorder="1" applyAlignment="1" applyProtection="1">
      <alignment horizontal="center"/>
      <protection hidden="1"/>
    </xf>
    <xf numFmtId="0" fontId="54" fillId="21" borderId="23" xfId="0" applyFont="1" applyFill="1" applyBorder="1" applyAlignment="1" applyProtection="1">
      <alignment horizontal="center"/>
      <protection hidden="1"/>
    </xf>
    <xf numFmtId="0" fontId="52" fillId="5" borderId="0" xfId="0" applyFont="1" applyFill="1" applyAlignment="1" applyProtection="1">
      <alignment horizontal="center"/>
      <protection hidden="1"/>
    </xf>
    <xf numFmtId="167" fontId="54" fillId="22" borderId="22" xfId="1" applyNumberFormat="1" applyFont="1" applyFill="1" applyBorder="1" applyAlignment="1" applyProtection="1">
      <alignment horizontal="center"/>
      <protection hidden="1"/>
    </xf>
    <xf numFmtId="0" fontId="61" fillId="0" borderId="0" xfId="0" applyFont="1" applyAlignment="1" applyProtection="1">
      <alignment horizontal="center" vertical="center" wrapText="1"/>
      <protection hidden="1"/>
    </xf>
    <xf numFmtId="0" fontId="100" fillId="22" borderId="0" xfId="0" applyFont="1" applyFill="1" applyBorder="1" applyAlignment="1" applyProtection="1">
      <alignment horizontal="center"/>
      <protection locked="0"/>
    </xf>
    <xf numFmtId="167" fontId="61" fillId="0" borderId="0" xfId="0" applyNumberFormat="1" applyFont="1" applyAlignment="1" applyProtection="1">
      <protection hidden="1"/>
    </xf>
    <xf numFmtId="0" fontId="100" fillId="0" borderId="68" xfId="0" applyFont="1" applyBorder="1" applyAlignment="1" applyProtection="1">
      <alignment horizontal="center"/>
      <protection locked="0"/>
    </xf>
    <xf numFmtId="0" fontId="100" fillId="0" borderId="69" xfId="0" applyFont="1" applyBorder="1" applyAlignment="1" applyProtection="1">
      <alignment horizontal="center"/>
      <protection locked="0"/>
    </xf>
    <xf numFmtId="0" fontId="100" fillId="0" borderId="70" xfId="0" applyFont="1" applyBorder="1" applyAlignment="1" applyProtection="1">
      <alignment horizontal="center"/>
      <protection locked="0"/>
    </xf>
    <xf numFmtId="0" fontId="61" fillId="0" borderId="0" xfId="0" applyFont="1" applyAlignment="1" applyProtection="1">
      <alignment horizontal="left"/>
      <protection hidden="1"/>
    </xf>
    <xf numFmtId="0" fontId="54" fillId="0" borderId="0" xfId="0" applyFont="1" applyAlignment="1" applyProtection="1">
      <alignment horizontal="left"/>
      <protection hidden="1"/>
    </xf>
    <xf numFmtId="167" fontId="48" fillId="0" borderId="0" xfId="1" applyNumberFormat="1" applyFont="1" applyAlignment="1" applyProtection="1">
      <alignment horizontal="center"/>
      <protection hidden="1"/>
    </xf>
    <xf numFmtId="167" fontId="135" fillId="0" borderId="0" xfId="1" applyNumberFormat="1" applyFont="1" applyAlignment="1" applyProtection="1">
      <alignment horizontal="center"/>
      <protection hidden="1"/>
    </xf>
    <xf numFmtId="167" fontId="48" fillId="0" borderId="0" xfId="1" applyNumberFormat="1" applyFont="1" applyFill="1" applyAlignment="1" applyProtection="1">
      <alignment horizontal="center"/>
      <protection hidden="1"/>
    </xf>
    <xf numFmtId="3" fontId="54" fillId="0" borderId="0" xfId="0" applyNumberFormat="1" applyFont="1" applyFill="1" applyAlignment="1" applyProtection="1">
      <alignment horizontal="right"/>
      <protection hidden="1"/>
    </xf>
    <xf numFmtId="3" fontId="54" fillId="0" borderId="0" xfId="0" applyNumberFormat="1" applyFont="1" applyAlignment="1" applyProtection="1">
      <alignment horizontal="right"/>
      <protection hidden="1"/>
    </xf>
    <xf numFmtId="174" fontId="54" fillId="22" borderId="0" xfId="1" applyNumberFormat="1" applyFont="1" applyFill="1" applyAlignment="1" applyProtection="1">
      <alignment horizontal="right"/>
      <protection hidden="1"/>
    </xf>
    <xf numFmtId="167" fontId="54" fillId="22" borderId="0" xfId="1" applyNumberFormat="1" applyFont="1" applyFill="1" applyAlignment="1" applyProtection="1">
      <alignment horizontal="right"/>
      <protection hidden="1"/>
    </xf>
    <xf numFmtId="0" fontId="156" fillId="2" borderId="0" xfId="12" applyFont="1" applyFill="1" applyAlignment="1" applyProtection="1">
      <alignment horizontal="left"/>
      <protection hidden="1"/>
    </xf>
    <xf numFmtId="0" fontId="156" fillId="2" borderId="0" xfId="0" applyFont="1" applyFill="1" applyAlignment="1" applyProtection="1">
      <alignment horizontal="left"/>
      <protection hidden="1"/>
    </xf>
    <xf numFmtId="0" fontId="48" fillId="0" borderId="0" xfId="0" applyFont="1" applyAlignment="1" applyProtection="1">
      <alignment horizontal="center"/>
      <protection hidden="1"/>
    </xf>
    <xf numFmtId="0" fontId="156" fillId="2" borderId="0" xfId="12" applyFont="1" applyFill="1" applyAlignment="1" applyProtection="1">
      <alignment horizontal="left" vertical="center" wrapText="1"/>
      <protection hidden="1"/>
    </xf>
    <xf numFmtId="0" fontId="48" fillId="0" borderId="0" xfId="0" applyFont="1" applyAlignment="1" applyProtection="1">
      <alignment horizontal="right"/>
      <protection hidden="1"/>
    </xf>
    <xf numFmtId="168" fontId="54" fillId="0" borderId="0" xfId="0" applyNumberFormat="1" applyFont="1" applyFill="1" applyAlignment="1" applyProtection="1">
      <alignment horizontal="right"/>
      <protection hidden="1"/>
    </xf>
    <xf numFmtId="168" fontId="54" fillId="0" borderId="0" xfId="0" applyNumberFormat="1" applyFont="1" applyAlignment="1" applyProtection="1">
      <alignment horizontal="right"/>
      <protection hidden="1"/>
    </xf>
    <xf numFmtId="170" fontId="54" fillId="22" borderId="0" xfId="1" applyNumberFormat="1" applyFont="1" applyFill="1" applyAlignment="1" applyProtection="1">
      <alignment horizontal="right"/>
      <protection hidden="1"/>
    </xf>
    <xf numFmtId="172" fontId="103" fillId="0" borderId="0" xfId="0" applyNumberFormat="1" applyFont="1" applyAlignment="1" applyProtection="1">
      <alignment horizontal="right"/>
      <protection hidden="1"/>
    </xf>
    <xf numFmtId="0" fontId="63" fillId="6" borderId="68" xfId="0" applyFont="1" applyFill="1" applyBorder="1" applyAlignment="1" applyProtection="1">
      <alignment horizontal="center"/>
      <protection locked="0"/>
    </xf>
    <xf numFmtId="0" fontId="63" fillId="6" borderId="69" xfId="0" applyFont="1" applyFill="1" applyBorder="1" applyAlignment="1" applyProtection="1">
      <alignment horizontal="center"/>
      <protection locked="0"/>
    </xf>
    <xf numFmtId="0" fontId="63" fillId="6" borderId="70" xfId="0" applyFont="1" applyFill="1" applyBorder="1" applyAlignment="1" applyProtection="1">
      <alignment horizontal="center"/>
      <protection locked="0"/>
    </xf>
    <xf numFmtId="0" fontId="54" fillId="0" borderId="68" xfId="0" applyFont="1" applyFill="1" applyBorder="1" applyAlignment="1" applyProtection="1">
      <alignment horizontal="center"/>
      <protection locked="0"/>
    </xf>
    <xf numFmtId="0" fontId="54" fillId="0" borderId="69" xfId="0" applyFont="1" applyFill="1" applyBorder="1" applyAlignment="1" applyProtection="1">
      <alignment horizontal="center"/>
      <protection locked="0"/>
    </xf>
    <xf numFmtId="0" fontId="54" fillId="0" borderId="70" xfId="0" applyFont="1" applyFill="1" applyBorder="1" applyAlignment="1" applyProtection="1">
      <alignment horizontal="center"/>
      <protection locked="0"/>
    </xf>
    <xf numFmtId="9" fontId="58" fillId="22" borderId="0" xfId="1" applyNumberFormat="1" applyFont="1" applyFill="1" applyAlignment="1" applyProtection="1">
      <alignment horizontal="right" vertical="center"/>
      <protection hidden="1"/>
    </xf>
    <xf numFmtId="0" fontId="86" fillId="5" borderId="0" xfId="0" applyFont="1" applyFill="1" applyAlignment="1" applyProtection="1">
      <alignment horizontal="center"/>
      <protection hidden="1"/>
    </xf>
    <xf numFmtId="0" fontId="86" fillId="17" borderId="0" xfId="0" applyFont="1" applyFill="1" applyAlignment="1" applyProtection="1">
      <alignment horizontal="center"/>
      <protection hidden="1"/>
    </xf>
    <xf numFmtId="167" fontId="48" fillId="0" borderId="0" xfId="1" applyNumberFormat="1" applyFont="1" applyAlignment="1" applyProtection="1">
      <alignment horizontal="right"/>
      <protection hidden="1"/>
    </xf>
    <xf numFmtId="167" fontId="145" fillId="22" borderId="0" xfId="1" applyNumberFormat="1" applyFont="1" applyFill="1" applyAlignment="1" applyProtection="1">
      <alignment horizontal="right"/>
      <protection hidden="1"/>
    </xf>
    <xf numFmtId="167" fontId="54" fillId="0" borderId="0" xfId="1" applyNumberFormat="1" applyFont="1" applyFill="1" applyAlignment="1" applyProtection="1">
      <alignment horizontal="center"/>
      <protection hidden="1"/>
    </xf>
    <xf numFmtId="167" fontId="54" fillId="0" borderId="0" xfId="1" applyNumberFormat="1" applyFont="1" applyAlignment="1" applyProtection="1">
      <alignment horizontal="center"/>
      <protection hidden="1"/>
    </xf>
    <xf numFmtId="0" fontId="86" fillId="17" borderId="68" xfId="0" applyFont="1" applyFill="1" applyBorder="1" applyAlignment="1" applyProtection="1">
      <alignment horizontal="center"/>
      <protection locked="0"/>
    </xf>
    <xf numFmtId="0" fontId="86" fillId="17" borderId="69" xfId="0" applyFont="1" applyFill="1" applyBorder="1" applyAlignment="1" applyProtection="1">
      <alignment horizontal="center"/>
      <protection locked="0"/>
    </xf>
    <xf numFmtId="0" fontId="86" fillId="17" borderId="70" xfId="0" applyFont="1" applyFill="1" applyBorder="1" applyAlignment="1" applyProtection="1">
      <alignment horizontal="center"/>
      <protection locked="0"/>
    </xf>
    <xf numFmtId="0" fontId="54" fillId="0" borderId="56" xfId="0" applyFont="1" applyBorder="1" applyAlignment="1" applyProtection="1">
      <alignment horizontal="left" vertical="center" wrapText="1"/>
      <protection hidden="1"/>
    </xf>
    <xf numFmtId="0" fontId="54" fillId="0" borderId="39" xfId="0" applyFont="1" applyBorder="1" applyAlignment="1" applyProtection="1">
      <alignment horizontal="left" vertical="center" wrapText="1"/>
      <protection hidden="1"/>
    </xf>
    <xf numFmtId="0" fontId="54" fillId="0" borderId="57" xfId="0" applyFont="1" applyBorder="1" applyAlignment="1" applyProtection="1">
      <alignment horizontal="left" vertical="center" wrapText="1"/>
      <protection hidden="1"/>
    </xf>
    <xf numFmtId="3" fontId="54" fillId="0" borderId="56" xfId="0" applyNumberFormat="1" applyFont="1" applyBorder="1" applyAlignment="1" applyProtection="1">
      <alignment horizontal="center" vertical="center"/>
      <protection hidden="1"/>
    </xf>
    <xf numFmtId="3" fontId="54" fillId="0" borderId="39" xfId="0" applyNumberFormat="1" applyFont="1" applyBorder="1" applyAlignment="1" applyProtection="1">
      <alignment horizontal="center" vertical="center"/>
      <protection hidden="1"/>
    </xf>
    <xf numFmtId="3" fontId="54" fillId="0" borderId="57" xfId="0" applyNumberFormat="1" applyFont="1" applyBorder="1" applyAlignment="1" applyProtection="1">
      <alignment horizontal="center" vertical="center"/>
      <protection hidden="1"/>
    </xf>
    <xf numFmtId="172" fontId="0" fillId="17" borderId="0" xfId="0" applyNumberFormat="1" applyFont="1" applyFill="1" applyBorder="1" applyAlignment="1" applyProtection="1">
      <alignment horizontal="center"/>
      <protection hidden="1"/>
    </xf>
    <xf numFmtId="0" fontId="54" fillId="0" borderId="40" xfId="0" applyFont="1" applyBorder="1" applyAlignment="1" applyProtection="1">
      <alignment horizontal="left" vertical="center" wrapText="1"/>
      <protection hidden="1"/>
    </xf>
    <xf numFmtId="0" fontId="54" fillId="0" borderId="0" xfId="0" applyFont="1" applyBorder="1" applyAlignment="1" applyProtection="1">
      <alignment horizontal="left" vertical="center" wrapText="1"/>
      <protection hidden="1"/>
    </xf>
    <xf numFmtId="0" fontId="54" fillId="0" borderId="37" xfId="0" applyFont="1" applyBorder="1" applyAlignment="1" applyProtection="1">
      <alignment horizontal="left" vertical="center" wrapText="1"/>
      <protection hidden="1"/>
    </xf>
    <xf numFmtId="0" fontId="63" fillId="0" borderId="0" xfId="0" applyFont="1" applyAlignment="1" applyProtection="1">
      <alignment horizontal="left" wrapText="1"/>
      <protection hidden="1"/>
    </xf>
    <xf numFmtId="3" fontId="54" fillId="0" borderId="35" xfId="0" applyNumberFormat="1" applyFont="1" applyBorder="1" applyAlignment="1" applyProtection="1">
      <alignment horizontal="center" vertical="center"/>
      <protection hidden="1"/>
    </xf>
    <xf numFmtId="3" fontId="54" fillId="0" borderId="38" xfId="0" applyNumberFormat="1" applyFont="1" applyBorder="1" applyAlignment="1" applyProtection="1">
      <alignment horizontal="center" vertical="center"/>
      <protection hidden="1"/>
    </xf>
    <xf numFmtId="3" fontId="54" fillId="0" borderId="36" xfId="0" applyNumberFormat="1" applyFont="1" applyBorder="1" applyAlignment="1" applyProtection="1">
      <alignment horizontal="center" vertical="center"/>
      <protection hidden="1"/>
    </xf>
    <xf numFmtId="176" fontId="0" fillId="0" borderId="0" xfId="1" applyNumberFormat="1" applyFont="1" applyAlignment="1">
      <alignment horizontal="center"/>
    </xf>
    <xf numFmtId="172" fontId="0" fillId="5" borderId="0" xfId="0" applyNumberFormat="1" applyFont="1" applyFill="1" applyBorder="1" applyAlignment="1" applyProtection="1">
      <alignment horizontal="center"/>
      <protection hidden="1"/>
    </xf>
    <xf numFmtId="0" fontId="54" fillId="17" borderId="21" xfId="0" applyFont="1" applyFill="1" applyBorder="1" applyAlignment="1" applyProtection="1">
      <alignment horizontal="center" vertical="center" wrapText="1"/>
      <protection hidden="1"/>
    </xf>
    <xf numFmtId="0" fontId="54" fillId="17" borderId="22" xfId="0" applyFont="1" applyFill="1" applyBorder="1" applyAlignment="1" applyProtection="1">
      <alignment horizontal="center" vertical="center" wrapText="1"/>
      <protection hidden="1"/>
    </xf>
    <xf numFmtId="0" fontId="54" fillId="17" borderId="23" xfId="0" applyFont="1" applyFill="1" applyBorder="1" applyAlignment="1" applyProtection="1">
      <alignment horizontal="center" vertical="center" wrapText="1"/>
      <protection hidden="1"/>
    </xf>
    <xf numFmtId="0" fontId="54" fillId="5" borderId="21" xfId="0" applyFont="1" applyFill="1" applyBorder="1" applyAlignment="1" applyProtection="1">
      <alignment horizontal="center" vertical="center" wrapText="1"/>
      <protection hidden="1"/>
    </xf>
    <xf numFmtId="0" fontId="54" fillId="5" borderId="22" xfId="0" applyFont="1" applyFill="1" applyBorder="1" applyAlignment="1" applyProtection="1">
      <alignment horizontal="center" vertical="center" wrapText="1"/>
      <protection hidden="1"/>
    </xf>
    <xf numFmtId="0" fontId="54" fillId="5" borderId="23" xfId="0" applyFont="1" applyFill="1" applyBorder="1" applyAlignment="1" applyProtection="1">
      <alignment horizontal="center" vertical="center" wrapText="1"/>
      <protection hidden="1"/>
    </xf>
    <xf numFmtId="0" fontId="54" fillId="0" borderId="35" xfId="0" applyFont="1" applyBorder="1" applyAlignment="1" applyProtection="1">
      <alignment horizontal="left" vertical="center" wrapText="1"/>
      <protection hidden="1"/>
    </xf>
    <xf numFmtId="0" fontId="54" fillId="0" borderId="38" xfId="0" applyFont="1" applyBorder="1" applyAlignment="1" applyProtection="1">
      <alignment horizontal="left" vertical="center" wrapText="1"/>
      <protection hidden="1"/>
    </xf>
    <xf numFmtId="0" fontId="54" fillId="0" borderId="36" xfId="0" applyFont="1" applyBorder="1" applyAlignment="1" applyProtection="1">
      <alignment horizontal="left" vertical="center" wrapText="1"/>
      <protection hidden="1"/>
    </xf>
    <xf numFmtId="3" fontId="54" fillId="0" borderId="89" xfId="0" applyNumberFormat="1" applyFont="1" applyBorder="1" applyAlignment="1" applyProtection="1">
      <alignment horizontal="center" vertical="center"/>
      <protection hidden="1"/>
    </xf>
    <xf numFmtId="3" fontId="54" fillId="0" borderId="90" xfId="0" applyNumberFormat="1" applyFont="1" applyBorder="1" applyAlignment="1" applyProtection="1">
      <alignment horizontal="center" vertical="center"/>
      <protection hidden="1"/>
    </xf>
    <xf numFmtId="3" fontId="54" fillId="0" borderId="91" xfId="0" applyNumberFormat="1" applyFont="1" applyBorder="1" applyAlignment="1" applyProtection="1">
      <alignment horizontal="center" vertical="center"/>
      <protection hidden="1"/>
    </xf>
    <xf numFmtId="3" fontId="54" fillId="0" borderId="22" xfId="0" applyNumberFormat="1" applyFont="1" applyBorder="1" applyAlignment="1" applyProtection="1">
      <alignment horizontal="center" vertical="center"/>
      <protection hidden="1"/>
    </xf>
    <xf numFmtId="3" fontId="54" fillId="0" borderId="23" xfId="0" applyNumberFormat="1" applyFont="1" applyBorder="1" applyAlignment="1" applyProtection="1">
      <alignment horizontal="center" vertical="center"/>
      <protection hidden="1"/>
    </xf>
    <xf numFmtId="167" fontId="54" fillId="0" borderId="21" xfId="1" applyNumberFormat="1" applyFont="1" applyBorder="1" applyAlignment="1" applyProtection="1">
      <alignment horizontal="center" vertical="center"/>
      <protection hidden="1"/>
    </xf>
    <xf numFmtId="167" fontId="54" fillId="0" borderId="22" xfId="1" applyNumberFormat="1" applyFont="1" applyBorder="1" applyAlignment="1" applyProtection="1">
      <alignment horizontal="center" vertical="center"/>
      <protection hidden="1"/>
    </xf>
    <xf numFmtId="167" fontId="54" fillId="0" borderId="23" xfId="1" applyNumberFormat="1" applyFont="1" applyBorder="1" applyAlignment="1" applyProtection="1">
      <alignment horizontal="center" vertical="center"/>
      <protection hidden="1"/>
    </xf>
    <xf numFmtId="0" fontId="54" fillId="5" borderId="68" xfId="0" applyFont="1" applyFill="1" applyBorder="1" applyAlignment="1" applyProtection="1">
      <alignment horizontal="center"/>
      <protection locked="0"/>
    </xf>
    <xf numFmtId="0" fontId="54" fillId="5" borderId="69" xfId="0" applyFont="1" applyFill="1" applyBorder="1" applyAlignment="1" applyProtection="1">
      <alignment horizontal="center"/>
      <protection locked="0"/>
    </xf>
    <xf numFmtId="0" fontId="54" fillId="5" borderId="70" xfId="0" applyFont="1" applyFill="1" applyBorder="1" applyAlignment="1" applyProtection="1">
      <alignment horizontal="center"/>
      <protection locked="0"/>
    </xf>
    <xf numFmtId="0" fontId="54" fillId="17" borderId="68" xfId="0" applyFont="1" applyFill="1" applyBorder="1" applyAlignment="1" applyProtection="1">
      <alignment horizontal="center"/>
      <protection locked="0"/>
    </xf>
    <xf numFmtId="0" fontId="54" fillId="17" borderId="69" xfId="0" applyFont="1" applyFill="1" applyBorder="1" applyAlignment="1" applyProtection="1">
      <alignment horizontal="center"/>
      <protection locked="0"/>
    </xf>
    <xf numFmtId="0" fontId="54" fillId="17" borderId="70" xfId="0" applyFont="1" applyFill="1" applyBorder="1" applyAlignment="1" applyProtection="1">
      <alignment horizontal="center"/>
      <protection locked="0"/>
    </xf>
    <xf numFmtId="167" fontId="54" fillId="0" borderId="21" xfId="1" applyNumberFormat="1" applyFont="1" applyBorder="1" applyAlignment="1" applyProtection="1">
      <alignment horizontal="center"/>
      <protection hidden="1"/>
    </xf>
    <xf numFmtId="167" fontId="54" fillId="0" borderId="22" xfId="1" applyNumberFormat="1" applyFont="1" applyBorder="1" applyAlignment="1" applyProtection="1">
      <alignment horizontal="center"/>
      <protection hidden="1"/>
    </xf>
    <xf numFmtId="167" fontId="54" fillId="0" borderId="23" xfId="1" applyNumberFormat="1" applyFont="1" applyBorder="1" applyAlignment="1" applyProtection="1">
      <alignment horizontal="center"/>
      <protection hidden="1"/>
    </xf>
    <xf numFmtId="0" fontId="54" fillId="0" borderId="0" xfId="0" applyFont="1" applyAlignment="1" applyProtection="1">
      <alignment horizontal="center"/>
      <protection hidden="1"/>
    </xf>
    <xf numFmtId="0" fontId="54" fillId="0" borderId="47" xfId="0" applyFont="1" applyBorder="1" applyAlignment="1" applyProtection="1">
      <alignment horizontal="center" vertical="center" wrapText="1"/>
      <protection hidden="1"/>
    </xf>
    <xf numFmtId="0" fontId="54" fillId="0" borderId="53" xfId="0" applyFont="1" applyBorder="1" applyAlignment="1" applyProtection="1">
      <alignment horizontal="center" vertical="center" wrapText="1"/>
      <protection hidden="1"/>
    </xf>
    <xf numFmtId="0" fontId="54" fillId="0" borderId="48" xfId="0" applyFont="1" applyBorder="1" applyAlignment="1" applyProtection="1">
      <alignment horizontal="center" vertical="center" wrapText="1"/>
      <protection hidden="1"/>
    </xf>
    <xf numFmtId="0" fontId="54" fillId="0" borderId="49" xfId="0" applyFont="1" applyBorder="1" applyAlignment="1" applyProtection="1">
      <alignment horizontal="center" vertical="center" wrapText="1"/>
      <protection hidden="1"/>
    </xf>
    <xf numFmtId="0" fontId="54" fillId="0" borderId="54" xfId="0" applyFont="1" applyBorder="1" applyAlignment="1" applyProtection="1">
      <alignment horizontal="center" vertical="center" wrapText="1"/>
      <protection hidden="1"/>
    </xf>
    <xf numFmtId="0" fontId="54" fillId="0" borderId="50" xfId="0" applyFont="1" applyBorder="1" applyAlignment="1" applyProtection="1">
      <alignment horizontal="center" vertical="center" wrapText="1"/>
      <protection hidden="1"/>
    </xf>
    <xf numFmtId="3" fontId="54" fillId="0" borderId="85" xfId="0" applyNumberFormat="1" applyFont="1" applyBorder="1" applyAlignment="1" applyProtection="1">
      <alignment horizontal="center"/>
      <protection hidden="1"/>
    </xf>
    <xf numFmtId="0" fontId="54" fillId="31" borderId="68" xfId="0" applyFont="1" applyFill="1" applyBorder="1" applyAlignment="1" applyProtection="1">
      <alignment horizontal="center"/>
      <protection locked="0"/>
    </xf>
    <xf numFmtId="0" fontId="54" fillId="31" borderId="69" xfId="0" applyFont="1" applyFill="1" applyBorder="1" applyAlignment="1" applyProtection="1">
      <alignment horizontal="center"/>
      <protection locked="0"/>
    </xf>
    <xf numFmtId="0" fontId="54" fillId="31" borderId="70" xfId="0" applyFont="1" applyFill="1" applyBorder="1" applyAlignment="1" applyProtection="1">
      <alignment horizontal="center"/>
      <protection locked="0"/>
    </xf>
    <xf numFmtId="0" fontId="54" fillId="43" borderId="68" xfId="0" applyFont="1" applyFill="1" applyBorder="1" applyAlignment="1" applyProtection="1">
      <alignment horizontal="center"/>
      <protection locked="0"/>
    </xf>
    <xf numFmtId="0" fontId="54" fillId="43" borderId="69" xfId="0" applyFont="1" applyFill="1" applyBorder="1" applyAlignment="1" applyProtection="1">
      <alignment horizontal="center"/>
      <protection locked="0"/>
    </xf>
    <xf numFmtId="0" fontId="54" fillId="43" borderId="70" xfId="0" applyFont="1" applyFill="1" applyBorder="1" applyAlignment="1" applyProtection="1">
      <alignment horizontal="center"/>
      <protection locked="0"/>
    </xf>
    <xf numFmtId="0" fontId="54" fillId="44" borderId="68" xfId="0" applyFont="1" applyFill="1" applyBorder="1" applyAlignment="1" applyProtection="1">
      <alignment horizontal="center"/>
      <protection locked="0"/>
    </xf>
    <xf numFmtId="0" fontId="54" fillId="44" borderId="69" xfId="0" applyFont="1" applyFill="1" applyBorder="1" applyAlignment="1" applyProtection="1">
      <alignment horizontal="center"/>
      <protection locked="0"/>
    </xf>
    <xf numFmtId="0" fontId="54" fillId="44" borderId="70" xfId="0" applyFont="1" applyFill="1" applyBorder="1" applyAlignment="1" applyProtection="1">
      <alignment horizontal="center"/>
      <protection locked="0"/>
    </xf>
    <xf numFmtId="0" fontId="54" fillId="0" borderId="35" xfId="0" applyFont="1" applyFill="1" applyBorder="1" applyAlignment="1" applyProtection="1">
      <alignment horizontal="left" vertical="center"/>
      <protection hidden="1"/>
    </xf>
    <xf numFmtId="0" fontId="54" fillId="0" borderId="38" xfId="0" applyFont="1" applyFill="1" applyBorder="1" applyAlignment="1" applyProtection="1">
      <alignment horizontal="left" vertical="center"/>
      <protection hidden="1"/>
    </xf>
    <xf numFmtId="0" fontId="54" fillId="0" borderId="36" xfId="0" applyFont="1" applyFill="1" applyBorder="1" applyAlignment="1" applyProtection="1">
      <alignment horizontal="left" vertical="center"/>
      <protection hidden="1"/>
    </xf>
    <xf numFmtId="0" fontId="52" fillId="17" borderId="68" xfId="0" applyFont="1" applyFill="1" applyBorder="1" applyAlignment="1" applyProtection="1">
      <alignment horizontal="center"/>
      <protection locked="0"/>
    </xf>
    <xf numFmtId="0" fontId="52" fillId="17" borderId="69" xfId="0" applyFont="1" applyFill="1" applyBorder="1" applyAlignment="1" applyProtection="1">
      <alignment horizontal="center"/>
      <protection locked="0"/>
    </xf>
    <xf numFmtId="0" fontId="52" fillId="17" borderId="70" xfId="0" applyFont="1" applyFill="1" applyBorder="1" applyAlignment="1" applyProtection="1">
      <alignment horizontal="center"/>
      <protection locked="0"/>
    </xf>
    <xf numFmtId="3" fontId="54" fillId="0" borderId="35" xfId="0" applyNumberFormat="1" applyFont="1" applyBorder="1" applyAlignment="1" applyProtection="1">
      <alignment horizontal="center"/>
      <protection hidden="1"/>
    </xf>
    <xf numFmtId="3" fontId="54" fillId="0" borderId="38" xfId="0" applyNumberFormat="1" applyFont="1" applyBorder="1" applyAlignment="1" applyProtection="1">
      <alignment horizontal="center"/>
      <protection hidden="1"/>
    </xf>
    <xf numFmtId="3" fontId="54" fillId="0" borderId="36" xfId="0" applyNumberFormat="1" applyFont="1" applyBorder="1" applyAlignment="1" applyProtection="1">
      <alignment horizontal="center"/>
      <protection hidden="1"/>
    </xf>
    <xf numFmtId="167" fontId="61" fillId="22" borderId="35" xfId="1" applyNumberFormat="1" applyFont="1" applyFill="1" applyBorder="1" applyAlignment="1" applyProtection="1">
      <alignment horizontal="center"/>
      <protection hidden="1"/>
    </xf>
    <xf numFmtId="167" fontId="61" fillId="22" borderId="38" xfId="1" applyNumberFormat="1" applyFont="1" applyFill="1" applyBorder="1" applyAlignment="1" applyProtection="1">
      <alignment horizontal="center"/>
      <protection hidden="1"/>
    </xf>
    <xf numFmtId="167" fontId="61" fillId="22" borderId="36" xfId="1" applyNumberFormat="1" applyFont="1" applyFill="1" applyBorder="1" applyAlignment="1" applyProtection="1">
      <alignment horizontal="center"/>
      <protection hidden="1"/>
    </xf>
    <xf numFmtId="3" fontId="61" fillId="0" borderId="35" xfId="0" applyNumberFormat="1" applyFont="1" applyFill="1" applyBorder="1" applyAlignment="1" applyProtection="1">
      <alignment horizontal="center"/>
      <protection hidden="1"/>
    </xf>
    <xf numFmtId="3" fontId="61" fillId="0" borderId="38" xfId="0" applyNumberFormat="1" applyFont="1" applyFill="1" applyBorder="1" applyAlignment="1" applyProtection="1">
      <alignment horizontal="center"/>
      <protection hidden="1"/>
    </xf>
    <xf numFmtId="3" fontId="61" fillId="0" borderId="36" xfId="0" applyNumberFormat="1" applyFont="1" applyFill="1" applyBorder="1" applyAlignment="1" applyProtection="1">
      <alignment horizontal="center"/>
      <protection hidden="1"/>
    </xf>
    <xf numFmtId="0" fontId="156" fillId="0" borderId="35" xfId="12" applyFont="1" applyFill="1" applyBorder="1" applyAlignment="1" applyProtection="1">
      <alignment horizontal="center" vertical="center" wrapText="1"/>
      <protection hidden="1"/>
    </xf>
    <xf numFmtId="0" fontId="156" fillId="0" borderId="38" xfId="12" applyFont="1" applyFill="1" applyBorder="1" applyAlignment="1" applyProtection="1">
      <alignment horizontal="center" vertical="center" wrapText="1"/>
      <protection hidden="1"/>
    </xf>
    <xf numFmtId="0" fontId="156" fillId="0" borderId="36" xfId="12" applyFont="1" applyFill="1" applyBorder="1" applyAlignment="1" applyProtection="1">
      <alignment horizontal="center" vertical="center" wrapText="1"/>
      <protection hidden="1"/>
    </xf>
    <xf numFmtId="0" fontId="156" fillId="0" borderId="35" xfId="0" applyFont="1" applyFill="1" applyBorder="1" applyAlignment="1" applyProtection="1">
      <alignment horizontal="center" vertical="center" wrapText="1"/>
      <protection hidden="1"/>
    </xf>
    <xf numFmtId="0" fontId="156" fillId="0" borderId="38" xfId="0" applyFont="1" applyFill="1" applyBorder="1" applyAlignment="1" applyProtection="1">
      <alignment horizontal="center" vertical="center" wrapText="1"/>
      <protection hidden="1"/>
    </xf>
    <xf numFmtId="0" fontId="156" fillId="0" borderId="36" xfId="0" applyFont="1" applyFill="1" applyBorder="1" applyAlignment="1" applyProtection="1">
      <alignment horizontal="center" vertical="center" wrapText="1"/>
      <protection hidden="1"/>
    </xf>
    <xf numFmtId="0" fontId="54" fillId="0" borderId="35" xfId="0" applyFont="1" applyBorder="1" applyAlignment="1" applyProtection="1">
      <alignment horizontal="center" vertical="center" wrapText="1"/>
      <protection hidden="1"/>
    </xf>
    <xf numFmtId="0" fontId="54" fillId="0" borderId="38" xfId="0" applyFont="1" applyBorder="1" applyAlignment="1" applyProtection="1">
      <alignment horizontal="center" vertical="center" wrapText="1"/>
      <protection hidden="1"/>
    </xf>
    <xf numFmtId="0" fontId="54" fillId="0" borderId="36" xfId="0" applyFont="1" applyBorder="1" applyAlignment="1" applyProtection="1">
      <alignment horizontal="center" vertical="center" wrapText="1"/>
      <protection hidden="1"/>
    </xf>
    <xf numFmtId="167" fontId="54" fillId="22" borderId="35" xfId="1" applyNumberFormat="1" applyFont="1" applyFill="1" applyBorder="1" applyAlignment="1" applyProtection="1">
      <alignment horizontal="center"/>
      <protection hidden="1"/>
    </xf>
    <xf numFmtId="167" fontId="54" fillId="22" borderId="38" xfId="1" applyNumberFormat="1" applyFont="1" applyFill="1" applyBorder="1" applyAlignment="1" applyProtection="1">
      <alignment horizontal="center"/>
      <protection hidden="1"/>
    </xf>
    <xf numFmtId="167" fontId="54" fillId="22" borderId="36" xfId="1" applyNumberFormat="1" applyFont="1" applyFill="1" applyBorder="1" applyAlignment="1" applyProtection="1">
      <alignment horizontal="center"/>
      <protection hidden="1"/>
    </xf>
    <xf numFmtId="1" fontId="54" fillId="0" borderId="35" xfId="0" applyNumberFormat="1" applyFont="1" applyBorder="1" applyAlignment="1" applyProtection="1">
      <alignment horizontal="center"/>
      <protection hidden="1"/>
    </xf>
    <xf numFmtId="1" fontId="54" fillId="0" borderId="38" xfId="0" applyNumberFormat="1" applyFont="1" applyBorder="1" applyAlignment="1" applyProtection="1">
      <alignment horizontal="center"/>
      <protection hidden="1"/>
    </xf>
    <xf numFmtId="1" fontId="54" fillId="0" borderId="36" xfId="0" applyNumberFormat="1" applyFont="1" applyBorder="1" applyAlignment="1" applyProtection="1">
      <alignment horizontal="center"/>
      <protection hidden="1"/>
    </xf>
    <xf numFmtId="165" fontId="54" fillId="22" borderId="35" xfId="0" applyNumberFormat="1" applyFont="1" applyFill="1" applyBorder="1" applyAlignment="1" applyProtection="1">
      <alignment horizontal="center"/>
      <protection hidden="1"/>
    </xf>
    <xf numFmtId="165" fontId="54" fillId="22" borderId="38" xfId="0" applyNumberFormat="1" applyFont="1" applyFill="1" applyBorder="1" applyAlignment="1" applyProtection="1">
      <alignment horizontal="center"/>
      <protection hidden="1"/>
    </xf>
    <xf numFmtId="165" fontId="54" fillId="22" borderId="36" xfId="0" applyNumberFormat="1" applyFont="1" applyFill="1" applyBorder="1" applyAlignment="1" applyProtection="1">
      <alignment horizontal="center"/>
      <protection hidden="1"/>
    </xf>
    <xf numFmtId="0" fontId="54" fillId="5" borderId="35" xfId="0" applyFont="1" applyFill="1" applyBorder="1" applyAlignment="1" applyProtection="1">
      <alignment horizontal="left"/>
      <protection hidden="1"/>
    </xf>
    <xf numFmtId="0" fontId="54" fillId="5" borderId="38" xfId="0" applyFont="1" applyFill="1" applyBorder="1" applyAlignment="1" applyProtection="1">
      <alignment horizontal="left"/>
      <protection hidden="1"/>
    </xf>
    <xf numFmtId="0" fontId="54" fillId="5" borderId="36" xfId="0" applyFont="1" applyFill="1" applyBorder="1" applyAlignment="1" applyProtection="1">
      <alignment horizontal="left"/>
      <protection hidden="1"/>
    </xf>
    <xf numFmtId="0" fontId="54" fillId="17" borderId="35" xfId="0" applyFont="1" applyFill="1" applyBorder="1" applyAlignment="1" applyProtection="1">
      <alignment horizontal="left"/>
      <protection hidden="1"/>
    </xf>
    <xf numFmtId="0" fontId="54" fillId="17" borderId="38" xfId="0" applyFont="1" applyFill="1" applyBorder="1" applyAlignment="1" applyProtection="1">
      <alignment horizontal="left"/>
      <protection hidden="1"/>
    </xf>
    <xf numFmtId="0" fontId="54" fillId="17" borderId="36" xfId="0" applyFont="1" applyFill="1" applyBorder="1" applyAlignment="1" applyProtection="1">
      <alignment horizontal="left"/>
      <protection hidden="1"/>
    </xf>
    <xf numFmtId="164" fontId="54" fillId="22" borderId="35" xfId="0" applyNumberFormat="1" applyFont="1" applyFill="1" applyBorder="1" applyAlignment="1" applyProtection="1">
      <alignment horizontal="center"/>
      <protection hidden="1"/>
    </xf>
    <xf numFmtId="164" fontId="54" fillId="22" borderId="38" xfId="0" applyNumberFormat="1" applyFont="1" applyFill="1" applyBorder="1" applyAlignment="1" applyProtection="1">
      <alignment horizontal="center"/>
      <protection hidden="1"/>
    </xf>
    <xf numFmtId="164" fontId="54" fillId="22" borderId="36" xfId="0" applyNumberFormat="1" applyFont="1" applyFill="1" applyBorder="1" applyAlignment="1" applyProtection="1">
      <alignment horizontal="center"/>
      <protection hidden="1"/>
    </xf>
    <xf numFmtId="0" fontId="50" fillId="5" borderId="68" xfId="0" applyFont="1" applyFill="1" applyBorder="1" applyAlignment="1" applyProtection="1">
      <alignment horizontal="center"/>
      <protection locked="0"/>
    </xf>
    <xf numFmtId="0" fontId="50" fillId="5" borderId="69" xfId="0" applyFont="1" applyFill="1" applyBorder="1" applyAlignment="1" applyProtection="1">
      <alignment horizontal="center"/>
      <protection locked="0"/>
    </xf>
    <xf numFmtId="0" fontId="50" fillId="5" borderId="70" xfId="0" applyFont="1" applyFill="1" applyBorder="1" applyAlignment="1" applyProtection="1">
      <alignment horizontal="center"/>
      <protection locked="0"/>
    </xf>
    <xf numFmtId="0" fontId="50" fillId="17" borderId="68" xfId="0" applyFont="1" applyFill="1" applyBorder="1" applyAlignment="1" applyProtection="1">
      <alignment horizontal="center"/>
      <protection locked="0"/>
    </xf>
    <xf numFmtId="0" fontId="50" fillId="17" borderId="69" xfId="0" applyFont="1" applyFill="1" applyBorder="1" applyAlignment="1" applyProtection="1">
      <alignment horizontal="center"/>
      <protection locked="0"/>
    </xf>
    <xf numFmtId="0" fontId="50" fillId="17" borderId="70" xfId="0" applyFont="1" applyFill="1" applyBorder="1" applyAlignment="1" applyProtection="1">
      <alignment horizontal="center"/>
      <protection locked="0"/>
    </xf>
    <xf numFmtId="0" fontId="162" fillId="0" borderId="35" xfId="12" applyFont="1" applyFill="1" applyBorder="1" applyAlignment="1" applyProtection="1">
      <alignment horizontal="center" vertical="center" wrapText="1"/>
      <protection hidden="1"/>
    </xf>
    <xf numFmtId="0" fontId="162" fillId="0" borderId="38" xfId="12" applyFont="1" applyFill="1" applyBorder="1" applyAlignment="1" applyProtection="1">
      <alignment horizontal="center" vertical="center" wrapText="1"/>
      <protection hidden="1"/>
    </xf>
    <xf numFmtId="0" fontId="162" fillId="0" borderId="35" xfId="0" applyFont="1" applyFill="1" applyBorder="1" applyAlignment="1" applyProtection="1">
      <alignment horizontal="center" vertical="center" wrapText="1"/>
      <protection hidden="1"/>
    </xf>
    <xf numFmtId="0" fontId="162" fillId="0" borderId="38" xfId="0" applyFont="1" applyFill="1" applyBorder="1" applyAlignment="1" applyProtection="1">
      <alignment horizontal="center" vertical="center" wrapText="1"/>
      <protection hidden="1"/>
    </xf>
    <xf numFmtId="0" fontId="162" fillId="0" borderId="36" xfId="0" applyFont="1" applyFill="1" applyBorder="1" applyAlignment="1" applyProtection="1">
      <alignment horizontal="center" vertical="center" wrapText="1"/>
      <protection hidden="1"/>
    </xf>
    <xf numFmtId="0" fontId="58" fillId="0" borderId="68" xfId="0" applyFont="1" applyFill="1" applyBorder="1" applyAlignment="1" applyProtection="1">
      <alignment horizontal="left"/>
      <protection locked="0"/>
    </xf>
    <xf numFmtId="0" fontId="58" fillId="0" borderId="69" xfId="0" applyFont="1" applyFill="1" applyBorder="1" applyAlignment="1" applyProtection="1">
      <alignment horizontal="left"/>
      <protection locked="0"/>
    </xf>
    <xf numFmtId="0" fontId="58" fillId="0" borderId="70" xfId="0" applyFont="1" applyFill="1" applyBorder="1" applyAlignment="1" applyProtection="1">
      <alignment horizontal="left"/>
      <protection locked="0"/>
    </xf>
    <xf numFmtId="0" fontId="58" fillId="22" borderId="0" xfId="0" applyFont="1" applyFill="1" applyBorder="1" applyAlignment="1" applyProtection="1">
      <alignment horizontal="center"/>
      <protection locked="0"/>
    </xf>
    <xf numFmtId="0" fontId="58" fillId="0" borderId="68" xfId="0" applyFont="1" applyFill="1" applyBorder="1" applyAlignment="1" applyProtection="1">
      <alignment horizontal="center"/>
      <protection locked="0"/>
    </xf>
    <xf numFmtId="0" fontId="58" fillId="0" borderId="69" xfId="0" applyFont="1" applyFill="1" applyBorder="1" applyAlignment="1" applyProtection="1">
      <alignment horizontal="center"/>
      <protection locked="0"/>
    </xf>
    <xf numFmtId="0" fontId="58" fillId="0" borderId="70" xfId="0" applyFont="1" applyFill="1" applyBorder="1" applyAlignment="1" applyProtection="1">
      <alignment horizontal="center"/>
      <protection locked="0"/>
    </xf>
    <xf numFmtId="0" fontId="58" fillId="0" borderId="72" xfId="0" applyFont="1" applyFill="1" applyBorder="1" applyAlignment="1" applyProtection="1">
      <alignment horizontal="center"/>
      <protection locked="0"/>
    </xf>
    <xf numFmtId="0" fontId="58" fillId="0" borderId="73" xfId="0" applyFont="1" applyFill="1" applyBorder="1" applyAlignment="1" applyProtection="1">
      <alignment horizontal="center"/>
      <protection locked="0"/>
    </xf>
    <xf numFmtId="0" fontId="58" fillId="0" borderId="72" xfId="0" applyFont="1" applyFill="1" applyBorder="1" applyAlignment="1" applyProtection="1">
      <alignment horizontal="left"/>
      <protection locked="0"/>
    </xf>
    <xf numFmtId="0" fontId="58" fillId="0" borderId="73" xfId="0" applyFont="1" applyFill="1" applyBorder="1" applyAlignment="1" applyProtection="1">
      <alignment horizontal="left"/>
      <protection locked="0"/>
    </xf>
    <xf numFmtId="167" fontId="54" fillId="22" borderId="35" xfId="1" applyNumberFormat="1" applyFont="1" applyFill="1" applyBorder="1" applyAlignment="1" applyProtection="1">
      <alignment horizontal="center" vertical="center"/>
      <protection hidden="1"/>
    </xf>
    <xf numFmtId="167" fontId="54" fillId="22" borderId="38" xfId="1" applyNumberFormat="1" applyFont="1" applyFill="1" applyBorder="1" applyAlignment="1" applyProtection="1">
      <alignment horizontal="center" vertical="center"/>
      <protection hidden="1"/>
    </xf>
    <xf numFmtId="3" fontId="54" fillId="0" borderId="46" xfId="0" applyNumberFormat="1" applyFont="1" applyBorder="1" applyAlignment="1" applyProtection="1">
      <alignment horizontal="center" vertical="center"/>
      <protection hidden="1"/>
    </xf>
    <xf numFmtId="167" fontId="54" fillId="22" borderId="36" xfId="1" applyNumberFormat="1" applyFont="1" applyFill="1" applyBorder="1" applyAlignment="1" applyProtection="1">
      <alignment horizontal="center" vertical="center"/>
      <protection hidden="1"/>
    </xf>
    <xf numFmtId="0" fontId="58" fillId="0" borderId="21" xfId="0" applyFont="1" applyFill="1" applyBorder="1" applyAlignment="1" applyProtection="1">
      <alignment horizontal="center" vertical="center" wrapText="1"/>
      <protection hidden="1"/>
    </xf>
    <xf numFmtId="0" fontId="58" fillId="0" borderId="23" xfId="0" applyFont="1" applyFill="1" applyBorder="1" applyAlignment="1" applyProtection="1">
      <alignment horizontal="center" vertical="center" wrapText="1"/>
      <protection hidden="1"/>
    </xf>
    <xf numFmtId="0" fontId="54" fillId="0" borderId="49" xfId="0" applyFont="1" applyBorder="1" applyAlignment="1" applyProtection="1">
      <alignment horizontal="left"/>
      <protection hidden="1"/>
    </xf>
    <xf numFmtId="0" fontId="54" fillId="0" borderId="54" xfId="0" applyFont="1" applyBorder="1" applyAlignment="1" applyProtection="1">
      <alignment horizontal="left"/>
      <protection hidden="1"/>
    </xf>
    <xf numFmtId="0" fontId="54" fillId="0" borderId="50" xfId="0" applyFont="1" applyBorder="1" applyAlignment="1" applyProtection="1">
      <alignment horizontal="left"/>
      <protection hidden="1"/>
    </xf>
    <xf numFmtId="0" fontId="157" fillId="0" borderId="54" xfId="12" applyFont="1" applyBorder="1" applyAlignment="1" applyProtection="1">
      <alignment horizontal="left" vertical="center" wrapText="1"/>
      <protection hidden="1"/>
    </xf>
    <xf numFmtId="0" fontId="157" fillId="0" borderId="50" xfId="12" applyFont="1" applyBorder="1" applyAlignment="1" applyProtection="1">
      <alignment horizontal="left" vertical="center" wrapText="1"/>
      <protection hidden="1"/>
    </xf>
    <xf numFmtId="0" fontId="162" fillId="0" borderId="21" xfId="12" applyFont="1" applyFill="1" applyBorder="1" applyAlignment="1" applyProtection="1">
      <alignment horizontal="center" wrapText="1"/>
      <protection hidden="1"/>
    </xf>
    <xf numFmtId="0" fontId="162" fillId="0" borderId="23" xfId="12" applyFont="1" applyFill="1" applyBorder="1" applyAlignment="1" applyProtection="1">
      <alignment horizontal="center" wrapText="1"/>
      <protection hidden="1"/>
    </xf>
    <xf numFmtId="0" fontId="162" fillId="0" borderId="21" xfId="0" applyFont="1" applyFill="1" applyBorder="1" applyAlignment="1" applyProtection="1">
      <alignment horizontal="center" wrapText="1"/>
      <protection hidden="1"/>
    </xf>
    <xf numFmtId="0" fontId="162" fillId="0" borderId="23" xfId="0" applyFont="1" applyFill="1" applyBorder="1" applyAlignment="1" applyProtection="1">
      <alignment horizontal="center" wrapText="1"/>
      <protection hidden="1"/>
    </xf>
    <xf numFmtId="0" fontId="54" fillId="0" borderId="0" xfId="0" applyFont="1" applyBorder="1" applyAlignment="1" applyProtection="1">
      <alignment horizontal="center"/>
      <protection hidden="1"/>
    </xf>
    <xf numFmtId="0" fontId="54" fillId="5" borderId="21" xfId="0" applyFont="1" applyFill="1" applyBorder="1" applyAlignment="1" applyProtection="1">
      <alignment horizontal="left"/>
      <protection hidden="1"/>
    </xf>
    <xf numFmtId="0" fontId="54" fillId="5" borderId="22" xfId="0" applyFont="1" applyFill="1" applyBorder="1" applyAlignment="1" applyProtection="1">
      <alignment horizontal="left"/>
      <protection hidden="1"/>
    </xf>
    <xf numFmtId="0" fontId="54" fillId="5" borderId="23" xfId="0" applyFont="1" applyFill="1" applyBorder="1" applyAlignment="1" applyProtection="1">
      <alignment horizontal="left"/>
      <protection hidden="1"/>
    </xf>
    <xf numFmtId="0" fontId="54" fillId="0" borderId="21" xfId="0" applyFont="1" applyBorder="1" applyAlignment="1" applyProtection="1">
      <alignment horizontal="center" vertical="center"/>
      <protection hidden="1"/>
    </xf>
    <xf numFmtId="0" fontId="54" fillId="0" borderId="22" xfId="0" applyFont="1" applyBorder="1" applyAlignment="1" applyProtection="1">
      <alignment horizontal="center" vertical="center"/>
      <protection hidden="1"/>
    </xf>
    <xf numFmtId="0" fontId="54" fillId="0" borderId="23" xfId="0" applyFont="1" applyBorder="1" applyAlignment="1" applyProtection="1">
      <alignment horizontal="center" vertical="center"/>
      <protection hidden="1"/>
    </xf>
    <xf numFmtId="0" fontId="54" fillId="0" borderId="22" xfId="0" applyFont="1" applyBorder="1" applyAlignment="1" applyProtection="1">
      <alignment horizontal="center"/>
      <protection hidden="1"/>
    </xf>
    <xf numFmtId="0" fontId="54" fillId="17" borderId="21" xfId="0" applyFont="1" applyFill="1" applyBorder="1" applyAlignment="1" applyProtection="1">
      <alignment horizontal="left"/>
      <protection hidden="1"/>
    </xf>
    <xf numFmtId="0" fontId="54" fillId="17" borderId="22" xfId="0" applyFont="1" applyFill="1" applyBorder="1" applyAlignment="1" applyProtection="1">
      <alignment horizontal="left"/>
      <protection hidden="1"/>
    </xf>
    <xf numFmtId="0" fontId="54" fillId="17" borderId="23" xfId="0" applyFont="1" applyFill="1" applyBorder="1" applyAlignment="1" applyProtection="1">
      <alignment horizontal="left"/>
      <protection hidden="1"/>
    </xf>
    <xf numFmtId="0" fontId="63" fillId="0" borderId="54" xfId="0" applyFont="1" applyBorder="1" applyAlignment="1" applyProtection="1">
      <alignment horizontal="left" vertical="center"/>
      <protection hidden="1"/>
    </xf>
    <xf numFmtId="0" fontId="63" fillId="0" borderId="50" xfId="0" applyFont="1" applyBorder="1" applyAlignment="1" applyProtection="1">
      <alignment horizontal="left" vertical="center"/>
      <protection hidden="1"/>
    </xf>
    <xf numFmtId="0" fontId="58" fillId="0" borderId="21" xfId="0" applyFont="1" applyFill="1" applyBorder="1" applyAlignment="1" applyProtection="1">
      <alignment horizontal="center" wrapText="1"/>
      <protection hidden="1"/>
    </xf>
    <xf numFmtId="0" fontId="58" fillId="0" borderId="23" xfId="0" applyFont="1" applyFill="1" applyBorder="1" applyAlignment="1" applyProtection="1">
      <alignment horizontal="center" wrapText="1"/>
      <protection hidden="1"/>
    </xf>
    <xf numFmtId="3" fontId="61" fillId="0" borderId="21" xfId="0" applyNumberFormat="1" applyFont="1" applyBorder="1" applyAlignment="1" applyProtection="1">
      <alignment horizontal="center" vertical="center"/>
      <protection hidden="1"/>
    </xf>
    <xf numFmtId="3" fontId="61" fillId="0" borderId="23" xfId="0" applyNumberFormat="1" applyFont="1" applyBorder="1" applyAlignment="1" applyProtection="1">
      <alignment horizontal="center" vertical="center"/>
      <protection hidden="1"/>
    </xf>
    <xf numFmtId="3" fontId="48" fillId="0" borderId="0" xfId="0" applyNumberFormat="1" applyFont="1" applyAlignment="1" applyProtection="1">
      <alignment horizontal="center"/>
      <protection hidden="1"/>
    </xf>
    <xf numFmtId="0" fontId="61" fillId="0" borderId="21" xfId="0" applyFont="1" applyBorder="1" applyAlignment="1" applyProtection="1">
      <alignment horizontal="left" wrapText="1"/>
      <protection hidden="1"/>
    </xf>
    <xf numFmtId="0" fontId="61" fillId="0" borderId="23" xfId="0" applyFont="1" applyBorder="1" applyAlignment="1" applyProtection="1">
      <alignment horizontal="left" wrapText="1"/>
      <protection hidden="1"/>
    </xf>
    <xf numFmtId="9" fontId="61" fillId="22" borderId="51" xfId="1" applyNumberFormat="1" applyFont="1" applyFill="1" applyBorder="1" applyAlignment="1" applyProtection="1">
      <alignment horizontal="center" vertical="center"/>
      <protection hidden="1"/>
    </xf>
    <xf numFmtId="9" fontId="61" fillId="22" borderId="52" xfId="1" applyNumberFormat="1" applyFont="1" applyFill="1" applyBorder="1" applyAlignment="1" applyProtection="1">
      <alignment horizontal="center" vertical="center"/>
      <protection hidden="1"/>
    </xf>
    <xf numFmtId="3" fontId="61" fillId="0" borderId="47" xfId="0" applyNumberFormat="1" applyFont="1" applyBorder="1" applyAlignment="1" applyProtection="1">
      <alignment horizontal="center" vertical="center"/>
      <protection hidden="1"/>
    </xf>
    <xf numFmtId="3" fontId="61" fillId="0" borderId="48" xfId="0" applyNumberFormat="1" applyFont="1" applyBorder="1" applyAlignment="1" applyProtection="1">
      <alignment horizontal="center" vertical="center"/>
      <protection hidden="1"/>
    </xf>
    <xf numFmtId="3" fontId="61" fillId="0" borderId="49" xfId="0" applyNumberFormat="1" applyFont="1" applyBorder="1" applyAlignment="1" applyProtection="1">
      <alignment horizontal="center" vertical="center"/>
      <protection hidden="1"/>
    </xf>
    <xf numFmtId="3" fontId="61" fillId="0" borderId="50" xfId="0" applyNumberFormat="1" applyFont="1" applyBorder="1" applyAlignment="1" applyProtection="1">
      <alignment horizontal="center" vertical="center"/>
      <protection hidden="1"/>
    </xf>
    <xf numFmtId="0" fontId="61" fillId="0" borderId="47" xfId="0" applyFont="1" applyBorder="1" applyAlignment="1" applyProtection="1">
      <alignment horizontal="left" wrapText="1"/>
      <protection hidden="1"/>
    </xf>
    <xf numFmtId="0" fontId="61" fillId="0" borderId="48" xfId="0" applyFont="1" applyBorder="1" applyAlignment="1" applyProtection="1">
      <alignment horizontal="left" wrapText="1"/>
      <protection hidden="1"/>
    </xf>
    <xf numFmtId="0" fontId="61" fillId="0" borderId="49" xfId="0" applyFont="1" applyBorder="1" applyAlignment="1" applyProtection="1">
      <alignment horizontal="left" wrapText="1"/>
      <protection hidden="1"/>
    </xf>
    <xf numFmtId="0" fontId="61" fillId="0" borderId="50" xfId="0" applyFont="1" applyBorder="1" applyAlignment="1" applyProtection="1">
      <alignment horizontal="left" wrapText="1"/>
      <protection hidden="1"/>
    </xf>
    <xf numFmtId="0" fontId="89" fillId="35" borderId="0" xfId="0" applyFont="1" applyFill="1" applyAlignment="1" applyProtection="1">
      <alignment horizontal="center"/>
      <protection hidden="1"/>
    </xf>
    <xf numFmtId="0" fontId="0" fillId="5" borderId="68" xfId="0" applyFill="1" applyBorder="1" applyAlignment="1" applyProtection="1">
      <alignment horizontal="center"/>
      <protection locked="0"/>
    </xf>
    <xf numFmtId="0" fontId="0" fillId="5" borderId="69" xfId="0" applyFill="1" applyBorder="1" applyAlignment="1" applyProtection="1">
      <alignment horizontal="center"/>
      <protection locked="0"/>
    </xf>
    <xf numFmtId="0" fontId="0" fillId="5" borderId="70" xfId="0" applyFill="1" applyBorder="1" applyAlignment="1" applyProtection="1">
      <alignment horizontal="center"/>
      <protection locked="0"/>
    </xf>
    <xf numFmtId="0" fontId="0" fillId="17" borderId="68" xfId="0" applyFill="1" applyBorder="1" applyAlignment="1" applyProtection="1">
      <alignment horizontal="center"/>
      <protection locked="0"/>
    </xf>
    <xf numFmtId="0" fontId="0" fillId="17" borderId="69" xfId="0" applyFill="1" applyBorder="1" applyAlignment="1" applyProtection="1">
      <alignment horizontal="center"/>
      <protection locked="0"/>
    </xf>
    <xf numFmtId="0" fontId="0" fillId="17" borderId="70" xfId="0" applyFill="1" applyBorder="1" applyAlignment="1" applyProtection="1">
      <alignment horizontal="center"/>
      <protection locked="0"/>
    </xf>
    <xf numFmtId="0" fontId="50" fillId="0" borderId="0" xfId="0" applyFont="1" applyAlignment="1">
      <alignment horizontal="left" wrapText="1"/>
    </xf>
    <xf numFmtId="0" fontId="149" fillId="0" borderId="0" xfId="0" applyFont="1" applyAlignment="1">
      <alignment horizontal="left" wrapText="1"/>
    </xf>
    <xf numFmtId="0" fontId="53" fillId="2" borderId="0" xfId="0" applyFont="1" applyFill="1" applyAlignment="1" applyProtection="1">
      <alignment horizontal="left" vertical="center" wrapText="1"/>
      <protection hidden="1"/>
    </xf>
    <xf numFmtId="0" fontId="50" fillId="2" borderId="0" xfId="0" applyFont="1" applyFill="1" applyAlignment="1" applyProtection="1">
      <alignment vertical="center" wrapText="1"/>
      <protection hidden="1"/>
    </xf>
    <xf numFmtId="0" fontId="90" fillId="35" borderId="0" xfId="0" applyFont="1" applyFill="1" applyAlignment="1" applyProtection="1">
      <alignment horizontal="center"/>
      <protection hidden="1"/>
    </xf>
  </cellXfs>
  <cellStyles count="32">
    <cellStyle name="_RangeColumns" xfId="21" xr:uid="{00000000-0005-0000-0000-000000000000}"/>
    <cellStyle name="_RangeData" xfId="22" xr:uid="{00000000-0005-0000-0000-000001000000}"/>
    <cellStyle name="_RangeProperties" xfId="23" xr:uid="{00000000-0005-0000-0000-000002000000}"/>
    <cellStyle name="_RangePropertiesColumns" xfId="24" xr:uid="{00000000-0005-0000-0000-000003000000}"/>
    <cellStyle name="_RangeRows" xfId="15" xr:uid="{00000000-0005-0000-0000-000004000000}"/>
    <cellStyle name="_RangeSlicer" xfId="25" xr:uid="{00000000-0005-0000-0000-000005000000}"/>
    <cellStyle name="Lien hypertexte" xfId="12" builtinId="8"/>
    <cellStyle name="Lien hypertexte 2" xfId="18" xr:uid="{00000000-0005-0000-0000-000007000000}"/>
    <cellStyle name="Lien hypertexte 3" xfId="19" xr:uid="{00000000-0005-0000-0000-000008000000}"/>
    <cellStyle name="Lien hypertexte 4" xfId="26" xr:uid="{00000000-0005-0000-0000-000009000000}"/>
    <cellStyle name="Milliers" xfId="11" builtinId="3"/>
    <cellStyle name="Motif" xfId="4" xr:uid="{00000000-0005-0000-0000-00000B000000}"/>
    <cellStyle name="Normal" xfId="0" builtinId="0"/>
    <cellStyle name="Normal 2" xfId="17" xr:uid="{00000000-0005-0000-0000-00000D000000}"/>
    <cellStyle name="Normal 2 2" xfId="27" xr:uid="{00000000-0005-0000-0000-00000E000000}"/>
    <cellStyle name="Normal 3" xfId="28" xr:uid="{00000000-0005-0000-0000-00000F000000}"/>
    <cellStyle name="Normal 3 2" xfId="31" xr:uid="{00000000-0005-0000-0000-000010000000}"/>
    <cellStyle name="Normal 4" xfId="20" xr:uid="{00000000-0005-0000-0000-000011000000}"/>
    <cellStyle name="Normal_2008 Déf" xfId="8" xr:uid="{00000000-0005-0000-0000-000012000000}"/>
    <cellStyle name="Normal_2010 SD" xfId="6" xr:uid="{00000000-0005-0000-0000-000013000000}"/>
    <cellStyle name="Normal_D_Ch-3" xfId="5" xr:uid="{00000000-0005-0000-0000-000014000000}"/>
    <cellStyle name="Normal_Feuil1" xfId="2" xr:uid="{00000000-0005-0000-0000-000015000000}"/>
    <cellStyle name="Normal_Feuil2" xfId="9" xr:uid="{00000000-0005-0000-0000-000016000000}"/>
    <cellStyle name="Normal_Feuil3" xfId="3" xr:uid="{00000000-0005-0000-0000-000017000000}"/>
    <cellStyle name="Normal_maj_sérieslongues" xfId="16" xr:uid="{00000000-0005-0000-0000-000018000000}"/>
    <cellStyle name="Normal_ok2" xfId="7" xr:uid="{00000000-0005-0000-0000-000019000000}"/>
    <cellStyle name="Normal_Pays" xfId="10" xr:uid="{00000000-0005-0000-0000-00001A000000}"/>
    <cellStyle name="Normal_Produits_I-E" xfId="13" xr:uid="{00000000-0005-0000-0000-00001B000000}"/>
    <cellStyle name="Normal_Produits_I-E_1" xfId="14" xr:uid="{00000000-0005-0000-0000-00001C000000}"/>
    <cellStyle name="Pourcentage" xfId="1" builtinId="5"/>
    <cellStyle name="Pourcentage 2" xfId="30" xr:uid="{00000000-0005-0000-0000-00001E000000}"/>
    <cellStyle name="Pourcentage 3" xfId="29" xr:uid="{00000000-0005-0000-0000-00001F000000}"/>
  </cellStyles>
  <dxfs count="0"/>
  <tableStyles count="0" defaultTableStyle="TableStyleMedium2" defaultPivotStyle="PivotStyleLight16"/>
  <colors>
    <mruColors>
      <color rgb="FF776DB0"/>
      <color rgb="FFBDBDE0"/>
      <color rgb="FF7AC0EE"/>
      <color rgb="FFA0BF38"/>
      <color rgb="FF3DA5C1"/>
      <color rgb="FF9900CC"/>
      <color rgb="FF000000"/>
      <color rgb="FFFF00FF"/>
      <color rgb="FF31859C"/>
      <color rgb="FFE46C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themeOverride" Target="../theme/themeOverride8.xml"/><Relationship Id="rId4" Type="http://schemas.openxmlformats.org/officeDocument/2006/relationships/chartUserShapes" Target="../drawings/drawing21.xml"/></Relationships>
</file>

<file path=xl/charts/_rels/chart3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1.emf"/><Relationship Id="rId1" Type="http://schemas.openxmlformats.org/officeDocument/2006/relationships/image" Target="../media/image9.png"/><Relationship Id="rId5" Type="http://schemas.openxmlformats.org/officeDocument/2006/relationships/chartUserShapes" Target="../drawings/drawing22.xml"/><Relationship Id="rId4" Type="http://schemas.openxmlformats.org/officeDocument/2006/relationships/image" Target="../media/image12.emf"/></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571121001179199"/>
          <c:y val="2.3682648040792335E-2"/>
          <c:w val="0.51866408003347408"/>
          <c:h val="0.86643807006185092"/>
        </c:manualLayout>
      </c:layout>
      <c:barChart>
        <c:barDir val="bar"/>
        <c:grouping val="clustered"/>
        <c:varyColors val="0"/>
        <c:ser>
          <c:idx val="0"/>
          <c:order val="0"/>
          <c:tx>
            <c:strRef>
              <c:f>'Emploi-old'!$A$28</c:f>
              <c:strCache>
                <c:ptCount val="1"/>
                <c:pt idx="0">
                  <c:v>Bx Métropole</c:v>
                </c:pt>
              </c:strCache>
            </c:strRef>
          </c:tx>
          <c:spPr>
            <a:solidFill>
              <a:schemeClr val="accent3">
                <a:lumMod val="60000"/>
                <a:lumOff val="40000"/>
              </a:schemeClr>
            </a:solidFill>
          </c:spPr>
          <c:invertIfNegative val="0"/>
          <c:cat>
            <c:strRef>
              <c:f>'Emploi-old'!$B$27:$M$27</c:f>
              <c:strCache>
                <c:ptCount val="12"/>
                <c:pt idx="0">
                  <c:v>Agriculture, sylviculture et pêche</c:v>
                </c:pt>
                <c:pt idx="1">
                  <c:v>Industries manufacturières, industries extractives et autres</c:v>
                </c:pt>
                <c:pt idx="2">
                  <c:v>Construction</c:v>
                </c:pt>
                <c:pt idx="3">
                  <c:v>Commerce ; réparation d'auto. et de moto.</c:v>
                </c:pt>
                <c:pt idx="4">
                  <c:v>Transport et entreposage</c:v>
                </c:pt>
                <c:pt idx="5">
                  <c:v>Hébergement et restauration</c:v>
                </c:pt>
                <c:pt idx="6">
                  <c:v>Information et communication</c:v>
                </c:pt>
                <c:pt idx="7">
                  <c:v>Activités financières et d'assurance</c:v>
                </c:pt>
                <c:pt idx="8">
                  <c:v>Activités immobilières</c:v>
                </c:pt>
                <c:pt idx="9">
                  <c:v>Activités scientifiques et techn. ; services administratifs et de soutien</c:v>
                </c:pt>
                <c:pt idx="10">
                  <c:v>Activités de droit privé liées à un service public</c:v>
                </c:pt>
                <c:pt idx="11">
                  <c:v>Autres activités de services</c:v>
                </c:pt>
              </c:strCache>
            </c:strRef>
          </c:cat>
          <c:val>
            <c:numRef>
              <c:f>'Emploi-old'!$B$28:$M$28</c:f>
              <c:numCache>
                <c:formatCode>General</c:formatCode>
                <c:ptCount val="12"/>
                <c:pt idx="0">
                  <c:v>0.21127457984471112</c:v>
                </c:pt>
                <c:pt idx="1">
                  <c:v>0.65397194139406079</c:v>
                </c:pt>
                <c:pt idx="2">
                  <c:v>0.90286908000180721</c:v>
                </c:pt>
                <c:pt idx="3">
                  <c:v>0.93482973332952635</c:v>
                </c:pt>
                <c:pt idx="4">
                  <c:v>1.0625857922867064</c:v>
                </c:pt>
                <c:pt idx="5">
                  <c:v>1.0364581999434908</c:v>
                </c:pt>
                <c:pt idx="6">
                  <c:v>1.3741082414667152</c:v>
                </c:pt>
                <c:pt idx="7">
                  <c:v>1.3974558130112456</c:v>
                </c:pt>
                <c:pt idx="8">
                  <c:v>1.2904469379962817</c:v>
                </c:pt>
                <c:pt idx="9">
                  <c:v>1.0750251502263097</c:v>
                </c:pt>
                <c:pt idx="10">
                  <c:v>1.0892694279216573</c:v>
                </c:pt>
                <c:pt idx="11">
                  <c:v>0.9907506462515473</c:v>
                </c:pt>
              </c:numCache>
            </c:numRef>
          </c:val>
          <c:extLst>
            <c:ext xmlns:c16="http://schemas.microsoft.com/office/drawing/2014/chart" uri="{C3380CC4-5D6E-409C-BE32-E72D297353CC}">
              <c16:uniqueId val="{00000000-F20E-465C-B163-70791F1C4CF3}"/>
            </c:ext>
          </c:extLst>
        </c:ser>
        <c:ser>
          <c:idx val="1"/>
          <c:order val="1"/>
          <c:tx>
            <c:strRef>
              <c:f>'Emploi-old'!$A$29</c:f>
              <c:strCache>
                <c:ptCount val="1"/>
                <c:pt idx="0">
                  <c:v>Isère</c:v>
                </c:pt>
              </c:strCache>
            </c:strRef>
          </c:tx>
          <c:spPr>
            <a:solidFill>
              <a:schemeClr val="accent1">
                <a:lumMod val="40000"/>
                <a:lumOff val="60000"/>
              </a:schemeClr>
            </a:solidFill>
          </c:spPr>
          <c:invertIfNegative val="0"/>
          <c:cat>
            <c:strRef>
              <c:f>'Emploi-old'!$B$27:$M$27</c:f>
              <c:strCache>
                <c:ptCount val="12"/>
                <c:pt idx="0">
                  <c:v>Agriculture, sylviculture et pêche</c:v>
                </c:pt>
                <c:pt idx="1">
                  <c:v>Industries manufacturières, industries extractives et autres</c:v>
                </c:pt>
                <c:pt idx="2">
                  <c:v>Construction</c:v>
                </c:pt>
                <c:pt idx="3">
                  <c:v>Commerce ; réparation d'auto. et de moto.</c:v>
                </c:pt>
                <c:pt idx="4">
                  <c:v>Transport et entreposage</c:v>
                </c:pt>
                <c:pt idx="5">
                  <c:v>Hébergement et restauration</c:v>
                </c:pt>
                <c:pt idx="6">
                  <c:v>Information et communication</c:v>
                </c:pt>
                <c:pt idx="7">
                  <c:v>Activités financières et d'assurance</c:v>
                </c:pt>
                <c:pt idx="8">
                  <c:v>Activités immobilières</c:v>
                </c:pt>
                <c:pt idx="9">
                  <c:v>Activités scientifiques et techn. ; services administratifs et de soutien</c:v>
                </c:pt>
                <c:pt idx="10">
                  <c:v>Activités de droit privé liées à un service public</c:v>
                </c:pt>
                <c:pt idx="11">
                  <c:v>Autres activités de services</c:v>
                </c:pt>
              </c:strCache>
            </c:strRef>
          </c:cat>
          <c:val>
            <c:numRef>
              <c:f>'Emploi-old'!$B$29:$M$29</c:f>
              <c:numCache>
                <c:formatCode>General</c:formatCode>
                <c:ptCount val="12"/>
                <c:pt idx="0">
                  <c:v>0.35367900073212838</c:v>
                </c:pt>
                <c:pt idx="1">
                  <c:v>1.3551763779897914</c:v>
                </c:pt>
                <c:pt idx="2">
                  <c:v>1.0638859279969402</c:v>
                </c:pt>
                <c:pt idx="3">
                  <c:v>0.94782733760455395</c:v>
                </c:pt>
                <c:pt idx="4">
                  <c:v>0.90961813332269892</c:v>
                </c:pt>
                <c:pt idx="5">
                  <c:v>0.84050182377081806</c:v>
                </c:pt>
                <c:pt idx="6">
                  <c:v>0.97751519799182218</c:v>
                </c:pt>
                <c:pt idx="7">
                  <c:v>0.65636835404355187</c:v>
                </c:pt>
                <c:pt idx="8">
                  <c:v>0.86867330754782079</c:v>
                </c:pt>
                <c:pt idx="9">
                  <c:v>1.0353659457547253</c:v>
                </c:pt>
                <c:pt idx="10">
                  <c:v>0.97042288654339304</c:v>
                </c:pt>
                <c:pt idx="11">
                  <c:v>0.81708379980805068</c:v>
                </c:pt>
              </c:numCache>
            </c:numRef>
          </c:val>
          <c:extLst>
            <c:ext xmlns:c16="http://schemas.microsoft.com/office/drawing/2014/chart" uri="{C3380CC4-5D6E-409C-BE32-E72D297353CC}">
              <c16:uniqueId val="{00000001-F20E-465C-B163-70791F1C4CF3}"/>
            </c:ext>
          </c:extLst>
        </c:ser>
        <c:dLbls>
          <c:showLegendKey val="0"/>
          <c:showVal val="0"/>
          <c:showCatName val="0"/>
          <c:showSerName val="0"/>
          <c:showPercent val="0"/>
          <c:showBubbleSize val="0"/>
        </c:dLbls>
        <c:gapWidth val="150"/>
        <c:overlap val="1"/>
        <c:axId val="308001792"/>
        <c:axId val="308015872"/>
      </c:barChart>
      <c:catAx>
        <c:axId val="308001792"/>
        <c:scaling>
          <c:orientation val="minMax"/>
        </c:scaling>
        <c:delete val="0"/>
        <c:axPos val="l"/>
        <c:numFmt formatCode="General" sourceLinked="0"/>
        <c:majorTickMark val="out"/>
        <c:minorTickMark val="none"/>
        <c:tickLblPos val="low"/>
        <c:txPr>
          <a:bodyPr/>
          <a:lstStyle/>
          <a:p>
            <a:pPr>
              <a:defRPr sz="800"/>
            </a:pPr>
            <a:endParaRPr lang="fr-FR"/>
          </a:p>
        </c:txPr>
        <c:crossAx val="308015872"/>
        <c:crossesAt val="1"/>
        <c:auto val="1"/>
        <c:lblAlgn val="ctr"/>
        <c:lblOffset val="100"/>
        <c:noMultiLvlLbl val="0"/>
      </c:catAx>
      <c:valAx>
        <c:axId val="308015872"/>
        <c:scaling>
          <c:orientation val="minMax"/>
        </c:scaling>
        <c:delete val="0"/>
        <c:axPos val="b"/>
        <c:majorGridlines/>
        <c:numFmt formatCode="General" sourceLinked="1"/>
        <c:majorTickMark val="out"/>
        <c:minorTickMark val="none"/>
        <c:tickLblPos val="nextTo"/>
        <c:txPr>
          <a:bodyPr/>
          <a:lstStyle/>
          <a:p>
            <a:pPr>
              <a:defRPr sz="900"/>
            </a:pPr>
            <a:endParaRPr lang="fr-FR"/>
          </a:p>
        </c:txPr>
        <c:crossAx val="308001792"/>
        <c:crossesAt val="1"/>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79216787944818"/>
          <c:y val="0.10695610965296004"/>
          <c:w val="0.44348129050240404"/>
          <c:h val="0.77706401283172932"/>
        </c:manualLayout>
      </c:layout>
      <c:barChart>
        <c:barDir val="col"/>
        <c:grouping val="stacked"/>
        <c:varyColors val="0"/>
        <c:ser>
          <c:idx val="0"/>
          <c:order val="0"/>
          <c:tx>
            <c:strRef>
              <c:f>'Dynamique de l''emploi'!$B$125</c:f>
              <c:strCache>
                <c:ptCount val="1"/>
                <c:pt idx="0">
                  <c:v>Privée</c:v>
                </c:pt>
              </c:strCache>
            </c:strRef>
          </c:tx>
          <c:spPr>
            <a:solidFill>
              <a:schemeClr val="accent1">
                <a:lumMod val="60000"/>
                <a:lumOff val="40000"/>
              </a:schemeClr>
            </a:solidFill>
          </c:spPr>
          <c:invertIfNegative val="0"/>
          <c:cat>
            <c:strRef>
              <c:f>'Dynamique de l''emploi'!$A$126:$A$127</c:f>
              <c:strCache>
                <c:ptCount val="2"/>
                <c:pt idx="0">
                  <c:v>AU Bordeaux</c:v>
                </c:pt>
                <c:pt idx="1">
                  <c:v>AU Toulouse</c:v>
                </c:pt>
              </c:strCache>
            </c:strRef>
          </c:cat>
          <c:val>
            <c:numRef>
              <c:f>'Dynamique de l''emploi'!$B$126:$B$127</c:f>
              <c:numCache>
                <c:formatCode>#,##0</c:formatCode>
                <c:ptCount val="2"/>
                <c:pt idx="0">
                  <c:v>196073</c:v>
                </c:pt>
                <c:pt idx="1">
                  <c:v>201856</c:v>
                </c:pt>
              </c:numCache>
            </c:numRef>
          </c:val>
          <c:extLst>
            <c:ext xmlns:c16="http://schemas.microsoft.com/office/drawing/2014/chart" uri="{C3380CC4-5D6E-409C-BE32-E72D297353CC}">
              <c16:uniqueId val="{00000000-F9CD-4DD8-98F0-3AB12E59DBDC}"/>
            </c:ext>
          </c:extLst>
        </c:ser>
        <c:ser>
          <c:idx val="1"/>
          <c:order val="1"/>
          <c:tx>
            <c:strRef>
              <c:f>'Dynamique de l''emploi'!$C$125</c:f>
              <c:strCache>
                <c:ptCount val="1"/>
                <c:pt idx="0">
                  <c:v>Publique</c:v>
                </c:pt>
              </c:strCache>
            </c:strRef>
          </c:tx>
          <c:spPr>
            <a:solidFill>
              <a:schemeClr val="accent1">
                <a:lumMod val="75000"/>
              </a:schemeClr>
            </a:solidFill>
          </c:spPr>
          <c:invertIfNegative val="0"/>
          <c:cat>
            <c:strRef>
              <c:f>'Dynamique de l''emploi'!$A$126:$A$127</c:f>
              <c:strCache>
                <c:ptCount val="2"/>
                <c:pt idx="0">
                  <c:v>AU Bordeaux</c:v>
                </c:pt>
                <c:pt idx="1">
                  <c:v>AU Toulouse</c:v>
                </c:pt>
              </c:strCache>
            </c:strRef>
          </c:cat>
          <c:val>
            <c:numRef>
              <c:f>'Dynamique de l''emploi'!$C$126:$C$127</c:f>
              <c:numCache>
                <c:formatCode>#,##0</c:formatCode>
                <c:ptCount val="2"/>
                <c:pt idx="0">
                  <c:v>108245</c:v>
                </c:pt>
                <c:pt idx="1">
                  <c:v>114442</c:v>
                </c:pt>
              </c:numCache>
            </c:numRef>
          </c:val>
          <c:extLst>
            <c:ext xmlns:c16="http://schemas.microsoft.com/office/drawing/2014/chart" uri="{C3380CC4-5D6E-409C-BE32-E72D297353CC}">
              <c16:uniqueId val="{00000001-F9CD-4DD8-98F0-3AB12E59DBDC}"/>
            </c:ext>
          </c:extLst>
        </c:ser>
        <c:ser>
          <c:idx val="2"/>
          <c:order val="2"/>
          <c:tx>
            <c:strRef>
              <c:f>'Dynamique de l''emploi'!$D$125</c:f>
              <c:strCache>
                <c:ptCount val="1"/>
                <c:pt idx="0">
                  <c:v>Privée</c:v>
                </c:pt>
              </c:strCache>
            </c:strRef>
          </c:tx>
          <c:spPr>
            <a:solidFill>
              <a:schemeClr val="accent4">
                <a:lumMod val="20000"/>
                <a:lumOff val="80000"/>
              </a:schemeClr>
            </a:solidFill>
          </c:spPr>
          <c:invertIfNegative val="0"/>
          <c:cat>
            <c:strRef>
              <c:f>'Dynamique de l''emploi'!$A$126:$A$127</c:f>
              <c:strCache>
                <c:ptCount val="2"/>
                <c:pt idx="0">
                  <c:v>AU Bordeaux</c:v>
                </c:pt>
                <c:pt idx="1">
                  <c:v>AU Toulouse</c:v>
                </c:pt>
              </c:strCache>
            </c:strRef>
          </c:cat>
          <c:val>
            <c:numRef>
              <c:f>'Dynamique de l''emploi'!$D$126:$D$127</c:f>
              <c:numCache>
                <c:formatCode>#,##0</c:formatCode>
                <c:ptCount val="2"/>
                <c:pt idx="0">
                  <c:v>148362</c:v>
                </c:pt>
                <c:pt idx="1">
                  <c:v>200890</c:v>
                </c:pt>
              </c:numCache>
            </c:numRef>
          </c:val>
          <c:extLst>
            <c:ext xmlns:c16="http://schemas.microsoft.com/office/drawing/2014/chart" uri="{C3380CC4-5D6E-409C-BE32-E72D297353CC}">
              <c16:uniqueId val="{00000002-F9CD-4DD8-98F0-3AB12E59DBDC}"/>
            </c:ext>
          </c:extLst>
        </c:ser>
        <c:ser>
          <c:idx val="3"/>
          <c:order val="3"/>
          <c:tx>
            <c:strRef>
              <c:f>'Dynamique de l''emploi'!$E$125</c:f>
              <c:strCache>
                <c:ptCount val="1"/>
                <c:pt idx="0">
                  <c:v>Publique</c:v>
                </c:pt>
              </c:strCache>
            </c:strRef>
          </c:tx>
          <c:spPr>
            <a:solidFill>
              <a:srgbClr val="9900CC"/>
            </a:solidFill>
          </c:spPr>
          <c:invertIfNegative val="0"/>
          <c:cat>
            <c:strRef>
              <c:f>'Dynamique de l''emploi'!$A$126:$A$127</c:f>
              <c:strCache>
                <c:ptCount val="2"/>
                <c:pt idx="0">
                  <c:v>AU Bordeaux</c:v>
                </c:pt>
                <c:pt idx="1">
                  <c:v>AU Toulouse</c:v>
                </c:pt>
              </c:strCache>
            </c:strRef>
          </c:cat>
          <c:val>
            <c:numRef>
              <c:f>'Dynamique de l''emploi'!$E$126:$E$127</c:f>
              <c:numCache>
                <c:formatCode>#,##0</c:formatCode>
                <c:ptCount val="2"/>
                <c:pt idx="0">
                  <c:v>2951</c:v>
                </c:pt>
                <c:pt idx="1">
                  <c:v>5119</c:v>
                </c:pt>
              </c:numCache>
            </c:numRef>
          </c:val>
          <c:extLst>
            <c:ext xmlns:c16="http://schemas.microsoft.com/office/drawing/2014/chart" uri="{C3380CC4-5D6E-409C-BE32-E72D297353CC}">
              <c16:uniqueId val="{00000003-F9CD-4DD8-98F0-3AB12E59DBDC}"/>
            </c:ext>
          </c:extLst>
        </c:ser>
        <c:dLbls>
          <c:showLegendKey val="0"/>
          <c:showVal val="0"/>
          <c:showCatName val="0"/>
          <c:showSerName val="0"/>
          <c:showPercent val="0"/>
          <c:showBubbleSize val="0"/>
        </c:dLbls>
        <c:gapWidth val="150"/>
        <c:overlap val="100"/>
        <c:axId val="335528320"/>
        <c:axId val="335529856"/>
      </c:barChart>
      <c:catAx>
        <c:axId val="335528320"/>
        <c:scaling>
          <c:orientation val="minMax"/>
        </c:scaling>
        <c:delete val="0"/>
        <c:axPos val="b"/>
        <c:numFmt formatCode="General" sourceLinked="0"/>
        <c:majorTickMark val="out"/>
        <c:minorTickMark val="none"/>
        <c:tickLblPos val="nextTo"/>
        <c:crossAx val="335529856"/>
        <c:crosses val="autoZero"/>
        <c:auto val="1"/>
        <c:lblAlgn val="ctr"/>
        <c:lblOffset val="100"/>
        <c:noMultiLvlLbl val="0"/>
      </c:catAx>
      <c:valAx>
        <c:axId val="335529856"/>
        <c:scaling>
          <c:orientation val="minMax"/>
        </c:scaling>
        <c:delete val="0"/>
        <c:axPos val="l"/>
        <c:majorGridlines/>
        <c:numFmt formatCode="#,##0" sourceLinked="1"/>
        <c:majorTickMark val="out"/>
        <c:minorTickMark val="none"/>
        <c:tickLblPos val="nextTo"/>
        <c:crossAx val="335528320"/>
        <c:crosses val="autoZero"/>
        <c:crossBetween val="between"/>
      </c:valAx>
    </c:plotArea>
    <c:legend>
      <c:legendPos val="r"/>
      <c:layout>
        <c:manualLayout>
          <c:xMode val="edge"/>
          <c:yMode val="edge"/>
          <c:x val="0.57609179383550513"/>
          <c:y val="0.20293598716827063"/>
          <c:w val="0.29362227951594544"/>
          <c:h val="0.691350247885681"/>
        </c:manualLayout>
      </c:layout>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20257234726688"/>
          <c:y val="0.10232648002333042"/>
          <c:w val="0.62505540505186052"/>
          <c:h val="0.78169364246135897"/>
        </c:manualLayout>
      </c:layout>
      <c:barChart>
        <c:barDir val="col"/>
        <c:grouping val="stacked"/>
        <c:varyColors val="0"/>
        <c:ser>
          <c:idx val="0"/>
          <c:order val="0"/>
          <c:tx>
            <c:strRef>
              <c:f>'Dynamique de l''emploi'!$K$125</c:f>
              <c:strCache>
                <c:ptCount val="1"/>
                <c:pt idx="0">
                  <c:v>Privé</c:v>
                </c:pt>
              </c:strCache>
            </c:strRef>
          </c:tx>
          <c:spPr>
            <a:solidFill>
              <a:schemeClr val="accent1">
                <a:lumMod val="60000"/>
                <a:lumOff val="40000"/>
              </a:schemeClr>
            </a:solidFill>
          </c:spPr>
          <c:invertIfNegative val="0"/>
          <c:cat>
            <c:strRef>
              <c:f>'Dynamique de l''emploi'!$J$126:$J$127</c:f>
              <c:strCache>
                <c:ptCount val="2"/>
                <c:pt idx="0">
                  <c:v>AU Bordeaux</c:v>
                </c:pt>
                <c:pt idx="1">
                  <c:v>AU Toulouse</c:v>
                </c:pt>
              </c:strCache>
            </c:strRef>
          </c:cat>
          <c:val>
            <c:numRef>
              <c:f>'Dynamique de l''emploi'!$K$126:$K$127</c:f>
              <c:numCache>
                <c:formatCode>#,##0</c:formatCode>
                <c:ptCount val="2"/>
                <c:pt idx="0">
                  <c:v>76333</c:v>
                </c:pt>
                <c:pt idx="1">
                  <c:v>77568</c:v>
                </c:pt>
              </c:numCache>
            </c:numRef>
          </c:val>
          <c:extLst>
            <c:ext xmlns:c16="http://schemas.microsoft.com/office/drawing/2014/chart" uri="{C3380CC4-5D6E-409C-BE32-E72D297353CC}">
              <c16:uniqueId val="{00000000-5D6B-4036-A675-433DF47031FB}"/>
            </c:ext>
          </c:extLst>
        </c:ser>
        <c:ser>
          <c:idx val="1"/>
          <c:order val="1"/>
          <c:tx>
            <c:strRef>
              <c:f>'Dynamique de l''emploi'!$L$125</c:f>
              <c:strCache>
                <c:ptCount val="1"/>
                <c:pt idx="0">
                  <c:v>Public</c:v>
                </c:pt>
              </c:strCache>
            </c:strRef>
          </c:tx>
          <c:spPr>
            <a:solidFill>
              <a:schemeClr val="accent1">
                <a:lumMod val="75000"/>
              </a:schemeClr>
            </a:solidFill>
          </c:spPr>
          <c:invertIfNegative val="0"/>
          <c:cat>
            <c:strRef>
              <c:f>'Dynamique de l''emploi'!$J$126:$J$127</c:f>
              <c:strCache>
                <c:ptCount val="2"/>
                <c:pt idx="0">
                  <c:v>AU Bordeaux</c:v>
                </c:pt>
                <c:pt idx="1">
                  <c:v>AU Toulouse</c:v>
                </c:pt>
              </c:strCache>
            </c:strRef>
          </c:cat>
          <c:val>
            <c:numRef>
              <c:f>'Dynamique de l''emploi'!$L$126:$L$127</c:f>
              <c:numCache>
                <c:formatCode>#,##0</c:formatCode>
                <c:ptCount val="2"/>
                <c:pt idx="0">
                  <c:v>2301</c:v>
                </c:pt>
                <c:pt idx="1">
                  <c:v>2743</c:v>
                </c:pt>
              </c:numCache>
            </c:numRef>
          </c:val>
          <c:extLst>
            <c:ext xmlns:c16="http://schemas.microsoft.com/office/drawing/2014/chart" uri="{C3380CC4-5D6E-409C-BE32-E72D297353CC}">
              <c16:uniqueId val="{00000001-5D6B-4036-A675-433DF47031FB}"/>
            </c:ext>
          </c:extLst>
        </c:ser>
        <c:ser>
          <c:idx val="2"/>
          <c:order val="2"/>
          <c:tx>
            <c:strRef>
              <c:f>'Dynamique de l''emploi'!$M$125</c:f>
              <c:strCache>
                <c:ptCount val="1"/>
                <c:pt idx="0">
                  <c:v>Privé</c:v>
                </c:pt>
              </c:strCache>
            </c:strRef>
          </c:tx>
          <c:spPr>
            <a:solidFill>
              <a:schemeClr val="accent4">
                <a:lumMod val="20000"/>
                <a:lumOff val="80000"/>
              </a:schemeClr>
            </a:solidFill>
          </c:spPr>
          <c:invertIfNegative val="0"/>
          <c:cat>
            <c:strRef>
              <c:f>'Dynamique de l''emploi'!$J$126:$J$127</c:f>
              <c:strCache>
                <c:ptCount val="2"/>
                <c:pt idx="0">
                  <c:v>AU Bordeaux</c:v>
                </c:pt>
                <c:pt idx="1">
                  <c:v>AU Toulouse</c:v>
                </c:pt>
              </c:strCache>
            </c:strRef>
          </c:cat>
          <c:val>
            <c:numRef>
              <c:f>'Dynamique de l''emploi'!$M$126:$M$127</c:f>
              <c:numCache>
                <c:formatCode>#,##0</c:formatCode>
                <c:ptCount val="2"/>
                <c:pt idx="0">
                  <c:v>51197</c:v>
                </c:pt>
                <c:pt idx="1">
                  <c:v>53239</c:v>
                </c:pt>
              </c:numCache>
            </c:numRef>
          </c:val>
          <c:extLst>
            <c:ext xmlns:c16="http://schemas.microsoft.com/office/drawing/2014/chart" uri="{C3380CC4-5D6E-409C-BE32-E72D297353CC}">
              <c16:uniqueId val="{00000002-5D6B-4036-A675-433DF47031FB}"/>
            </c:ext>
          </c:extLst>
        </c:ser>
        <c:ser>
          <c:idx val="3"/>
          <c:order val="3"/>
          <c:tx>
            <c:strRef>
              <c:f>'Dynamique de l''emploi'!$N$125</c:f>
              <c:strCache>
                <c:ptCount val="1"/>
                <c:pt idx="0">
                  <c:v>public</c:v>
                </c:pt>
              </c:strCache>
            </c:strRef>
          </c:tx>
          <c:spPr>
            <a:solidFill>
              <a:srgbClr val="9900CC"/>
            </a:solidFill>
          </c:spPr>
          <c:invertIfNegative val="0"/>
          <c:cat>
            <c:strRef>
              <c:f>'Dynamique de l''emploi'!$J$126:$J$127</c:f>
              <c:strCache>
                <c:ptCount val="2"/>
                <c:pt idx="0">
                  <c:v>AU Bordeaux</c:v>
                </c:pt>
                <c:pt idx="1">
                  <c:v>AU Toulouse</c:v>
                </c:pt>
              </c:strCache>
            </c:strRef>
          </c:cat>
          <c:val>
            <c:numRef>
              <c:f>'Dynamique de l''emploi'!$N$126:$N$127</c:f>
              <c:numCache>
                <c:formatCode>#,##0</c:formatCode>
                <c:ptCount val="2"/>
                <c:pt idx="0">
                  <c:v>46</c:v>
                </c:pt>
                <c:pt idx="1">
                  <c:v>66</c:v>
                </c:pt>
              </c:numCache>
            </c:numRef>
          </c:val>
          <c:extLst>
            <c:ext xmlns:c16="http://schemas.microsoft.com/office/drawing/2014/chart" uri="{C3380CC4-5D6E-409C-BE32-E72D297353CC}">
              <c16:uniqueId val="{00000003-5D6B-4036-A675-433DF47031FB}"/>
            </c:ext>
          </c:extLst>
        </c:ser>
        <c:dLbls>
          <c:showLegendKey val="0"/>
          <c:showVal val="0"/>
          <c:showCatName val="0"/>
          <c:showSerName val="0"/>
          <c:showPercent val="0"/>
          <c:showBubbleSize val="0"/>
        </c:dLbls>
        <c:gapWidth val="150"/>
        <c:overlap val="100"/>
        <c:axId val="335641216"/>
        <c:axId val="335643008"/>
      </c:barChart>
      <c:catAx>
        <c:axId val="335641216"/>
        <c:scaling>
          <c:orientation val="minMax"/>
        </c:scaling>
        <c:delete val="0"/>
        <c:axPos val="b"/>
        <c:numFmt formatCode="General" sourceLinked="0"/>
        <c:majorTickMark val="out"/>
        <c:minorTickMark val="none"/>
        <c:tickLblPos val="nextTo"/>
        <c:crossAx val="335643008"/>
        <c:crosses val="autoZero"/>
        <c:auto val="1"/>
        <c:lblAlgn val="ctr"/>
        <c:lblOffset val="100"/>
        <c:noMultiLvlLbl val="0"/>
      </c:catAx>
      <c:valAx>
        <c:axId val="335643008"/>
        <c:scaling>
          <c:orientation val="minMax"/>
        </c:scaling>
        <c:delete val="0"/>
        <c:axPos val="l"/>
        <c:majorGridlines/>
        <c:numFmt formatCode="#,##0" sourceLinked="1"/>
        <c:majorTickMark val="out"/>
        <c:minorTickMark val="none"/>
        <c:tickLblPos val="high"/>
        <c:crossAx val="335641216"/>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3178195710979"/>
          <c:y val="4.214129483814523E-2"/>
          <c:w val="0.50569502435193958"/>
          <c:h val="0.76789474131267577"/>
        </c:manualLayout>
      </c:layout>
      <c:barChart>
        <c:barDir val="col"/>
        <c:grouping val="stacked"/>
        <c:varyColors val="0"/>
        <c:ser>
          <c:idx val="0"/>
          <c:order val="0"/>
          <c:tx>
            <c:strRef>
              <c:f>'Dynamique de l''emploi'!$B$144</c:f>
              <c:strCache>
                <c:ptCount val="1"/>
                <c:pt idx="0">
                  <c:v>Sphère productive</c:v>
                </c:pt>
              </c:strCache>
            </c:strRef>
          </c:tx>
          <c:spPr>
            <a:solidFill>
              <a:schemeClr val="accent4">
                <a:lumMod val="60000"/>
                <a:lumOff val="40000"/>
              </a:schemeClr>
            </a:solidFill>
          </c:spPr>
          <c:invertIfNegative val="0"/>
          <c:cat>
            <c:numRef>
              <c:f>('Dynamique de l''emploi'!$B$143,'Dynamique de l''emploi'!$C$143,'Dynamique de l''emploi'!$D$143,'Dynamique de l''emploi'!$E$143,'Dynamique de l''emploi'!$F$143,'Dynamique de l''emploi'!$G$143)</c:f>
              <c:numCache>
                <c:formatCode>General</c:formatCode>
                <c:ptCount val="6"/>
                <c:pt idx="0">
                  <c:v>1975</c:v>
                </c:pt>
                <c:pt idx="1">
                  <c:v>1982</c:v>
                </c:pt>
                <c:pt idx="2">
                  <c:v>1990</c:v>
                </c:pt>
                <c:pt idx="3">
                  <c:v>1999</c:v>
                </c:pt>
                <c:pt idx="4">
                  <c:v>2009</c:v>
                </c:pt>
                <c:pt idx="5">
                  <c:v>2014</c:v>
                </c:pt>
              </c:numCache>
            </c:numRef>
          </c:cat>
          <c:val>
            <c:numRef>
              <c:f>('Dynamique de l''emploi'!$B$145,'Dynamique de l''emploi'!$D$145,'Dynamique de l''emploi'!$F$145,'Dynamique de l''emploi'!$H$145,'Dynamique de l''emploi'!$J$145,'Dynamique de l''emploi'!$L$145)</c:f>
              <c:numCache>
                <c:formatCode>#,##0</c:formatCode>
                <c:ptCount val="6"/>
                <c:pt idx="0">
                  <c:v>137285</c:v>
                </c:pt>
                <c:pt idx="1">
                  <c:v>131888</c:v>
                </c:pt>
                <c:pt idx="2">
                  <c:v>135838</c:v>
                </c:pt>
                <c:pt idx="3">
                  <c:v>141053</c:v>
                </c:pt>
                <c:pt idx="4">
                  <c:v>164104.04729890099</c:v>
                </c:pt>
                <c:pt idx="5">
                  <c:v>167562.31509242699</c:v>
                </c:pt>
              </c:numCache>
            </c:numRef>
          </c:val>
          <c:extLst>
            <c:ext xmlns:c16="http://schemas.microsoft.com/office/drawing/2014/chart" uri="{C3380CC4-5D6E-409C-BE32-E72D297353CC}">
              <c16:uniqueId val="{00000000-AE67-44AE-AB58-4286650B381A}"/>
            </c:ext>
          </c:extLst>
        </c:ser>
        <c:ser>
          <c:idx val="1"/>
          <c:order val="1"/>
          <c:tx>
            <c:strRef>
              <c:f>'Dynamique de l''emploi'!$C$144</c:f>
              <c:strCache>
                <c:ptCount val="1"/>
                <c:pt idx="0">
                  <c:v>Sphère résidentielle</c:v>
                </c:pt>
              </c:strCache>
            </c:strRef>
          </c:tx>
          <c:spPr>
            <a:solidFill>
              <a:schemeClr val="tx2">
                <a:lumMod val="40000"/>
                <a:lumOff val="60000"/>
              </a:schemeClr>
            </a:solidFill>
          </c:spPr>
          <c:invertIfNegative val="0"/>
          <c:cat>
            <c:numRef>
              <c:f>('Dynamique de l''emploi'!$B$143,'Dynamique de l''emploi'!$C$143,'Dynamique de l''emploi'!$D$143,'Dynamique de l''emploi'!$E$143,'Dynamique de l''emploi'!$F$143,'Dynamique de l''emploi'!$G$143)</c:f>
              <c:numCache>
                <c:formatCode>General</c:formatCode>
                <c:ptCount val="6"/>
                <c:pt idx="0">
                  <c:v>1975</c:v>
                </c:pt>
                <c:pt idx="1">
                  <c:v>1982</c:v>
                </c:pt>
                <c:pt idx="2">
                  <c:v>1990</c:v>
                </c:pt>
                <c:pt idx="3">
                  <c:v>1999</c:v>
                </c:pt>
                <c:pt idx="4">
                  <c:v>2009</c:v>
                </c:pt>
                <c:pt idx="5">
                  <c:v>2014</c:v>
                </c:pt>
              </c:numCache>
            </c:numRef>
          </c:cat>
          <c:val>
            <c:numRef>
              <c:f>('Dynamique de l''emploi'!$C$145,'Dynamique de l''emploi'!$E$145,'Dynamique de l''emploi'!$G$145,'Dynamique de l''emploi'!$I$145,'Dynamique de l''emploi'!$K$145,'Dynamique de l''emploi'!$M$145)</c:f>
              <c:numCache>
                <c:formatCode>#,##0</c:formatCode>
                <c:ptCount val="6"/>
                <c:pt idx="0">
                  <c:v>188590</c:v>
                </c:pt>
                <c:pt idx="1">
                  <c:v>211576</c:v>
                </c:pt>
                <c:pt idx="2">
                  <c:v>238475</c:v>
                </c:pt>
                <c:pt idx="3">
                  <c:v>260374</c:v>
                </c:pt>
                <c:pt idx="4">
                  <c:v>326947.424690641</c:v>
                </c:pt>
                <c:pt idx="5">
                  <c:v>349776.533760202</c:v>
                </c:pt>
              </c:numCache>
            </c:numRef>
          </c:val>
          <c:extLst>
            <c:ext xmlns:c16="http://schemas.microsoft.com/office/drawing/2014/chart" uri="{C3380CC4-5D6E-409C-BE32-E72D297353CC}">
              <c16:uniqueId val="{00000001-AE67-44AE-AB58-4286650B381A}"/>
            </c:ext>
          </c:extLst>
        </c:ser>
        <c:dLbls>
          <c:showLegendKey val="0"/>
          <c:showVal val="0"/>
          <c:showCatName val="0"/>
          <c:showSerName val="0"/>
          <c:showPercent val="0"/>
          <c:showBubbleSize val="0"/>
        </c:dLbls>
        <c:gapWidth val="150"/>
        <c:overlap val="100"/>
        <c:axId val="335808000"/>
        <c:axId val="335809536"/>
      </c:barChart>
      <c:catAx>
        <c:axId val="335808000"/>
        <c:scaling>
          <c:orientation val="minMax"/>
        </c:scaling>
        <c:delete val="0"/>
        <c:axPos val="b"/>
        <c:numFmt formatCode="General" sourceLinked="1"/>
        <c:majorTickMark val="out"/>
        <c:minorTickMark val="none"/>
        <c:tickLblPos val="nextTo"/>
        <c:txPr>
          <a:bodyPr/>
          <a:lstStyle/>
          <a:p>
            <a:pPr>
              <a:defRPr sz="800">
                <a:latin typeface="Avenir LT Std 35 Light" pitchFamily="34" charset="0"/>
              </a:defRPr>
            </a:pPr>
            <a:endParaRPr lang="fr-FR"/>
          </a:p>
        </c:txPr>
        <c:crossAx val="335809536"/>
        <c:crosses val="autoZero"/>
        <c:auto val="1"/>
        <c:lblAlgn val="ctr"/>
        <c:lblOffset val="100"/>
        <c:noMultiLvlLbl val="0"/>
      </c:catAx>
      <c:valAx>
        <c:axId val="335809536"/>
        <c:scaling>
          <c:orientation val="minMax"/>
          <c:max val="1000500"/>
          <c:min val="0"/>
        </c:scaling>
        <c:delete val="0"/>
        <c:axPos val="l"/>
        <c:majorGridlines/>
        <c:numFmt formatCode="#,##0" sourceLinked="1"/>
        <c:majorTickMark val="out"/>
        <c:minorTickMark val="none"/>
        <c:tickLblPos val="nextTo"/>
        <c:txPr>
          <a:bodyPr/>
          <a:lstStyle/>
          <a:p>
            <a:pPr>
              <a:defRPr sz="800">
                <a:latin typeface="Avenir LT Std 45 Book" pitchFamily="34" charset="0"/>
              </a:defRPr>
            </a:pPr>
            <a:endParaRPr lang="fr-FR"/>
          </a:p>
        </c:txPr>
        <c:crossAx val="335808000"/>
        <c:crosses val="autoZero"/>
        <c:crossBetween val="between"/>
      </c:valAx>
      <c:spPr>
        <a:noFill/>
      </c:spPr>
    </c:plotArea>
    <c:legend>
      <c:legendPos val="r"/>
      <c:layout>
        <c:manualLayout>
          <c:xMode val="edge"/>
          <c:yMode val="edge"/>
          <c:x val="0.64390418093630053"/>
          <c:y val="0.86524373773666641"/>
          <c:w val="0.24730188343225479"/>
          <c:h val="0.13256071146446499"/>
        </c:manualLayout>
      </c:layout>
      <c:overlay val="0"/>
      <c:txPr>
        <a:bodyPr/>
        <a:lstStyle/>
        <a:p>
          <a:pPr>
            <a:defRPr sz="800">
              <a:latin typeface="Avenir LT Std 35 Light" pitchFamily="34" charset="0"/>
            </a:defRPr>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76706827309238E-2"/>
          <c:y val="4.6121593291404611E-2"/>
          <c:w val="0.91164658634538154"/>
          <c:h val="0.76970666402548737"/>
        </c:manualLayout>
      </c:layout>
      <c:barChart>
        <c:barDir val="col"/>
        <c:grouping val="stacked"/>
        <c:varyColors val="0"/>
        <c:ser>
          <c:idx val="0"/>
          <c:order val="0"/>
          <c:tx>
            <c:strRef>
              <c:f>'Dynamique de l''emploi'!$B$144</c:f>
              <c:strCache>
                <c:ptCount val="1"/>
                <c:pt idx="0">
                  <c:v>Sphère productive</c:v>
                </c:pt>
              </c:strCache>
            </c:strRef>
          </c:tx>
          <c:spPr>
            <a:solidFill>
              <a:schemeClr val="accent4">
                <a:lumMod val="60000"/>
                <a:lumOff val="40000"/>
              </a:schemeClr>
            </a:solidFill>
          </c:spPr>
          <c:invertIfNegative val="0"/>
          <c:cat>
            <c:numRef>
              <c:f>('Dynamique de l''emploi'!$B$143,'Dynamique de l''emploi'!$C$143,'Dynamique de l''emploi'!$D$143,'Dynamique de l''emploi'!$E$143,'Dynamique de l''emploi'!$F$143,'Dynamique de l''emploi'!$G$143)</c:f>
              <c:numCache>
                <c:formatCode>General</c:formatCode>
                <c:ptCount val="6"/>
                <c:pt idx="0">
                  <c:v>1975</c:v>
                </c:pt>
                <c:pt idx="1">
                  <c:v>1982</c:v>
                </c:pt>
                <c:pt idx="2">
                  <c:v>1990</c:v>
                </c:pt>
                <c:pt idx="3">
                  <c:v>1999</c:v>
                </c:pt>
                <c:pt idx="4">
                  <c:v>2009</c:v>
                </c:pt>
                <c:pt idx="5">
                  <c:v>2014</c:v>
                </c:pt>
              </c:numCache>
            </c:numRef>
          </c:cat>
          <c:val>
            <c:numRef>
              <c:f>('Dynamique de l''emploi'!$B$146,'Dynamique de l''emploi'!$D$146,'Dynamique de l''emploi'!$F$146,'Dynamique de l''emploi'!$H$146,'Dynamique de l''emploi'!$J$146,'Dynamique de l''emploi'!$L$146)</c:f>
              <c:numCache>
                <c:formatCode>#,##0</c:formatCode>
                <c:ptCount val="6"/>
                <c:pt idx="0">
                  <c:v>111410</c:v>
                </c:pt>
                <c:pt idx="1">
                  <c:v>115980</c:v>
                </c:pt>
                <c:pt idx="2">
                  <c:v>138211</c:v>
                </c:pt>
                <c:pt idx="3">
                  <c:v>153943</c:v>
                </c:pt>
                <c:pt idx="4">
                  <c:v>211289.12237073801</c:v>
                </c:pt>
                <c:pt idx="5">
                  <c:v>226841.56028870799</c:v>
                </c:pt>
              </c:numCache>
            </c:numRef>
          </c:val>
          <c:extLst>
            <c:ext xmlns:c16="http://schemas.microsoft.com/office/drawing/2014/chart" uri="{C3380CC4-5D6E-409C-BE32-E72D297353CC}">
              <c16:uniqueId val="{00000000-F9DC-4977-9ED0-C3E3780C54DD}"/>
            </c:ext>
          </c:extLst>
        </c:ser>
        <c:ser>
          <c:idx val="1"/>
          <c:order val="1"/>
          <c:tx>
            <c:strRef>
              <c:f>'Dynamique de l''emploi'!$C$144</c:f>
              <c:strCache>
                <c:ptCount val="1"/>
                <c:pt idx="0">
                  <c:v>Sphère résidentielle</c:v>
                </c:pt>
              </c:strCache>
            </c:strRef>
          </c:tx>
          <c:spPr>
            <a:solidFill>
              <a:schemeClr val="tx2">
                <a:lumMod val="40000"/>
                <a:lumOff val="60000"/>
              </a:schemeClr>
            </a:solidFill>
          </c:spPr>
          <c:invertIfNegative val="0"/>
          <c:cat>
            <c:numRef>
              <c:f>('Dynamique de l''emploi'!$B$143,'Dynamique de l''emploi'!$C$143,'Dynamique de l''emploi'!$D$143,'Dynamique de l''emploi'!$E$143,'Dynamique de l''emploi'!$F$143,'Dynamique de l''emploi'!$G$143)</c:f>
              <c:numCache>
                <c:formatCode>General</c:formatCode>
                <c:ptCount val="6"/>
                <c:pt idx="0">
                  <c:v>1975</c:v>
                </c:pt>
                <c:pt idx="1">
                  <c:v>1982</c:v>
                </c:pt>
                <c:pt idx="2">
                  <c:v>1990</c:v>
                </c:pt>
                <c:pt idx="3">
                  <c:v>1999</c:v>
                </c:pt>
                <c:pt idx="4">
                  <c:v>2009</c:v>
                </c:pt>
                <c:pt idx="5">
                  <c:v>2014</c:v>
                </c:pt>
              </c:numCache>
            </c:numRef>
          </c:cat>
          <c:val>
            <c:numRef>
              <c:f>('Dynamique de l''emploi'!$C$146,'Dynamique de l''emploi'!$E$146,'Dynamique de l''emploi'!$G$146,'Dynamique de l''emploi'!$I$146,'Dynamique de l''emploi'!$K$146,'Dynamique de l''emploi'!$M$146)</c:f>
              <c:numCache>
                <c:formatCode>#,##0</c:formatCode>
                <c:ptCount val="6"/>
                <c:pt idx="0">
                  <c:v>168610</c:v>
                </c:pt>
                <c:pt idx="1">
                  <c:v>191628</c:v>
                </c:pt>
                <c:pt idx="2">
                  <c:v>227822</c:v>
                </c:pt>
                <c:pt idx="3">
                  <c:v>262628</c:v>
                </c:pt>
                <c:pt idx="4">
                  <c:v>344454.386221967</c:v>
                </c:pt>
                <c:pt idx="5">
                  <c:v>364798.94203825301</c:v>
                </c:pt>
              </c:numCache>
            </c:numRef>
          </c:val>
          <c:extLst>
            <c:ext xmlns:c16="http://schemas.microsoft.com/office/drawing/2014/chart" uri="{C3380CC4-5D6E-409C-BE32-E72D297353CC}">
              <c16:uniqueId val="{00000001-F9DC-4977-9ED0-C3E3780C54DD}"/>
            </c:ext>
          </c:extLst>
        </c:ser>
        <c:dLbls>
          <c:showLegendKey val="0"/>
          <c:showVal val="0"/>
          <c:showCatName val="0"/>
          <c:showSerName val="0"/>
          <c:showPercent val="0"/>
          <c:showBubbleSize val="0"/>
        </c:dLbls>
        <c:gapWidth val="150"/>
        <c:overlap val="100"/>
        <c:axId val="335839616"/>
        <c:axId val="335841152"/>
      </c:barChart>
      <c:catAx>
        <c:axId val="335839616"/>
        <c:scaling>
          <c:orientation val="minMax"/>
        </c:scaling>
        <c:delete val="0"/>
        <c:axPos val="b"/>
        <c:numFmt formatCode="General" sourceLinked="1"/>
        <c:majorTickMark val="out"/>
        <c:minorTickMark val="none"/>
        <c:tickLblPos val="nextTo"/>
        <c:txPr>
          <a:bodyPr/>
          <a:lstStyle/>
          <a:p>
            <a:pPr>
              <a:defRPr sz="800">
                <a:latin typeface="Avenir LT Std 35 Light" pitchFamily="34" charset="0"/>
              </a:defRPr>
            </a:pPr>
            <a:endParaRPr lang="fr-FR"/>
          </a:p>
        </c:txPr>
        <c:crossAx val="335841152"/>
        <c:crosses val="autoZero"/>
        <c:auto val="1"/>
        <c:lblAlgn val="ctr"/>
        <c:lblOffset val="100"/>
        <c:noMultiLvlLbl val="0"/>
      </c:catAx>
      <c:valAx>
        <c:axId val="335841152"/>
        <c:scaling>
          <c:orientation val="minMax"/>
          <c:max val="1000500"/>
          <c:min val="0"/>
        </c:scaling>
        <c:delete val="1"/>
        <c:axPos val="l"/>
        <c:majorGridlines/>
        <c:numFmt formatCode="#,##0" sourceLinked="1"/>
        <c:majorTickMark val="out"/>
        <c:minorTickMark val="none"/>
        <c:tickLblPos val="nextTo"/>
        <c:crossAx val="3358396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849518810148731E-2"/>
          <c:y val="5.8511302687954521E-2"/>
          <c:w val="0.84908245844269459"/>
          <c:h val="0.84443758592632079"/>
        </c:manualLayout>
      </c:layout>
      <c:barChart>
        <c:barDir val="col"/>
        <c:grouping val="clustered"/>
        <c:varyColors val="0"/>
        <c:ser>
          <c:idx val="0"/>
          <c:order val="0"/>
          <c:tx>
            <c:strRef>
              <c:f>'Marché du travail'!$D$21</c:f>
              <c:strCache>
                <c:ptCount val="1"/>
                <c:pt idx="0">
                  <c:v>2009</c:v>
                </c:pt>
              </c:strCache>
            </c:strRef>
          </c:tx>
          <c:spPr>
            <a:solidFill>
              <a:schemeClr val="accent6">
                <a:lumMod val="60000"/>
                <a:lumOff val="40000"/>
              </a:schemeClr>
            </a:solidFill>
          </c:spPr>
          <c:invertIfNegative val="0"/>
          <c:dLbls>
            <c:numFmt formatCode="0.0%" sourceLinked="0"/>
            <c:spPr>
              <a:noFill/>
              <a:ln>
                <a:noFill/>
              </a:ln>
              <a:effectLst/>
            </c:spPr>
            <c:txPr>
              <a:bodyPr/>
              <a:lstStyle/>
              <a:p>
                <a:pPr>
                  <a:defRPr sz="8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'Marché du travail'!$A$26:$A$27</c:f>
              <c:strCache>
                <c:ptCount val="2"/>
                <c:pt idx="0">
                  <c:v>AU Bordeaux</c:v>
                </c:pt>
                <c:pt idx="1">
                  <c:v>AU Toulouse</c:v>
                </c:pt>
              </c:strCache>
            </c:strRef>
          </c:cat>
          <c:val>
            <c:numRef>
              <c:f>'Marché du travail'!$D$26:$D$27</c:f>
              <c:numCache>
                <c:formatCode>0.0%</c:formatCode>
                <c:ptCount val="2"/>
                <c:pt idx="0">
                  <c:v>9.635780680689475E-2</c:v>
                </c:pt>
                <c:pt idx="1">
                  <c:v>9.22199797353703E-2</c:v>
                </c:pt>
              </c:numCache>
            </c:numRef>
          </c:val>
          <c:extLst>
            <c:ext xmlns:c16="http://schemas.microsoft.com/office/drawing/2014/chart" uri="{C3380CC4-5D6E-409C-BE32-E72D297353CC}">
              <c16:uniqueId val="{00000000-1198-4655-A00F-A45839C64661}"/>
            </c:ext>
          </c:extLst>
        </c:ser>
        <c:ser>
          <c:idx val="1"/>
          <c:order val="1"/>
          <c:tx>
            <c:strRef>
              <c:f>'Marché du travail'!$E$21</c:f>
              <c:strCache>
                <c:ptCount val="1"/>
                <c:pt idx="0">
                  <c:v>2014</c:v>
                </c:pt>
              </c:strCache>
            </c:strRef>
          </c:tx>
          <c:spPr>
            <a:solidFill>
              <a:schemeClr val="accent4">
                <a:lumMod val="60000"/>
                <a:lumOff val="40000"/>
              </a:schemeClr>
            </a:solidFill>
          </c:spPr>
          <c:invertIfNegative val="0"/>
          <c:dLbls>
            <c:numFmt formatCode="0.0%" sourceLinked="0"/>
            <c:spPr>
              <a:noFill/>
              <a:ln>
                <a:noFill/>
              </a:ln>
              <a:effectLst/>
            </c:spPr>
            <c:txPr>
              <a:bodyPr/>
              <a:lstStyle/>
              <a:p>
                <a:pPr>
                  <a:defRPr sz="8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'Marché du travail'!$A$26:$A$27</c:f>
              <c:strCache>
                <c:ptCount val="2"/>
                <c:pt idx="0">
                  <c:v>AU Bordeaux</c:v>
                </c:pt>
                <c:pt idx="1">
                  <c:v>AU Toulouse</c:v>
                </c:pt>
              </c:strCache>
            </c:strRef>
          </c:cat>
          <c:val>
            <c:numRef>
              <c:f>'Marché du travail'!$E$26:$E$27</c:f>
              <c:numCache>
                <c:formatCode>0.0%</c:formatCode>
                <c:ptCount val="2"/>
                <c:pt idx="0">
                  <c:v>9.4060362121425822E-2</c:v>
                </c:pt>
                <c:pt idx="1">
                  <c:v>8.7074546241135073E-2</c:v>
                </c:pt>
              </c:numCache>
            </c:numRef>
          </c:val>
          <c:extLst>
            <c:ext xmlns:c16="http://schemas.microsoft.com/office/drawing/2014/chart" uri="{C3380CC4-5D6E-409C-BE32-E72D297353CC}">
              <c16:uniqueId val="{00000001-1198-4655-A00F-A45839C64661}"/>
            </c:ext>
          </c:extLst>
        </c:ser>
        <c:dLbls>
          <c:showLegendKey val="0"/>
          <c:showVal val="0"/>
          <c:showCatName val="0"/>
          <c:showSerName val="0"/>
          <c:showPercent val="0"/>
          <c:showBubbleSize val="0"/>
        </c:dLbls>
        <c:gapWidth val="150"/>
        <c:axId val="334987648"/>
        <c:axId val="334989184"/>
      </c:barChart>
      <c:catAx>
        <c:axId val="334987648"/>
        <c:scaling>
          <c:orientation val="minMax"/>
        </c:scaling>
        <c:delete val="0"/>
        <c:axPos val="b"/>
        <c:numFmt formatCode="General" sourceLinked="1"/>
        <c:majorTickMark val="out"/>
        <c:minorTickMark val="none"/>
        <c:tickLblPos val="nextTo"/>
        <c:txPr>
          <a:bodyPr/>
          <a:lstStyle/>
          <a:p>
            <a:pPr>
              <a:defRPr sz="800"/>
            </a:pPr>
            <a:endParaRPr lang="fr-FR"/>
          </a:p>
        </c:txPr>
        <c:crossAx val="334989184"/>
        <c:crosses val="autoZero"/>
        <c:auto val="1"/>
        <c:lblAlgn val="ctr"/>
        <c:lblOffset val="100"/>
        <c:noMultiLvlLbl val="0"/>
      </c:catAx>
      <c:valAx>
        <c:axId val="334989184"/>
        <c:scaling>
          <c:orientation val="minMax"/>
          <c:max val="0.125"/>
          <c:min val="6.0000000000000012E-2"/>
        </c:scaling>
        <c:delete val="0"/>
        <c:axPos val="l"/>
        <c:majorGridlines/>
        <c:numFmt formatCode="0%" sourceLinked="0"/>
        <c:majorTickMark val="out"/>
        <c:minorTickMark val="none"/>
        <c:tickLblPos val="nextTo"/>
        <c:txPr>
          <a:bodyPr/>
          <a:lstStyle/>
          <a:p>
            <a:pPr>
              <a:defRPr sz="800"/>
            </a:pPr>
            <a:endParaRPr lang="fr-FR"/>
          </a:p>
        </c:txPr>
        <c:crossAx val="334987648"/>
        <c:crosses val="autoZero"/>
        <c:crossBetween val="between"/>
      </c:valAx>
    </c:plotArea>
    <c:legend>
      <c:legendPos val="r"/>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228644451839601E-2"/>
          <c:y val="0.11560440106095528"/>
          <c:w val="0.83994657196040401"/>
          <c:h val="0.65465956774316558"/>
        </c:manualLayout>
      </c:layout>
      <c:barChart>
        <c:barDir val="col"/>
        <c:grouping val="clustered"/>
        <c:varyColors val="0"/>
        <c:ser>
          <c:idx val="0"/>
          <c:order val="1"/>
          <c:tx>
            <c:strRef>
              <c:f>'D_Ch2-2'!$E$60</c:f>
              <c:strCache>
                <c:ptCount val="1"/>
                <c:pt idx="0">
                  <c:v>Projet de recrutement </c:v>
                </c:pt>
              </c:strCache>
            </c:strRef>
          </c:tx>
          <c:spPr>
            <a:solidFill>
              <a:srgbClr val="4F81BD">
                <a:lumMod val="40000"/>
                <a:lumOff val="60000"/>
              </a:srgbClr>
            </a:solidFill>
            <a:ln w="28575">
              <a:noFill/>
            </a:ln>
          </c:spPr>
          <c:invertIfNegative val="0"/>
          <c:cat>
            <c:strRef>
              <c:f>'D_Ch2-2'!$B$61:$B$75</c:f>
              <c:strCache>
                <c:ptCount val="15"/>
                <c:pt idx="0">
                  <c:v>Rouen</c:v>
                </c:pt>
                <c:pt idx="1">
                  <c:v>Lille</c:v>
                </c:pt>
                <c:pt idx="2">
                  <c:v>Lens</c:v>
                </c:pt>
                <c:pt idx="3">
                  <c:v>Strasbourg</c:v>
                </c:pt>
                <c:pt idx="4">
                  <c:v>Nantes</c:v>
                </c:pt>
                <c:pt idx="5">
                  <c:v>Rennes</c:v>
                </c:pt>
                <c:pt idx="6">
                  <c:v>Bordeaux</c:v>
                </c:pt>
                <c:pt idx="7">
                  <c:v>Toulouse</c:v>
                </c:pt>
                <c:pt idx="8">
                  <c:v>Grenoble</c:v>
                </c:pt>
                <c:pt idx="9">
                  <c:v>Lyon</c:v>
                </c:pt>
                <c:pt idx="10">
                  <c:v>Montpellier</c:v>
                </c:pt>
                <c:pt idx="11">
                  <c:v>Bassin Niçois</c:v>
                </c:pt>
                <c:pt idx="12">
                  <c:v>Marseille</c:v>
                </c:pt>
                <c:pt idx="13">
                  <c:v>Bassin Toulonnais</c:v>
                </c:pt>
                <c:pt idx="14">
                  <c:v>Bassin d'Avignon</c:v>
                </c:pt>
              </c:strCache>
            </c:strRef>
          </c:cat>
          <c:val>
            <c:numRef>
              <c:f>'D_Ch2-2'!$E$61:$E$75</c:f>
              <c:numCache>
                <c:formatCode>#,##0</c:formatCode>
                <c:ptCount val="15"/>
                <c:pt idx="0">
                  <c:v>14379.5214190607</c:v>
                </c:pt>
                <c:pt idx="1">
                  <c:v>34718.1066883573</c:v>
                </c:pt>
                <c:pt idx="2">
                  <c:v>9525.2635218461</c:v>
                </c:pt>
                <c:pt idx="3">
                  <c:v>21920.111529724902</c:v>
                </c:pt>
                <c:pt idx="4">
                  <c:v>29038.765628781501</c:v>
                </c:pt>
                <c:pt idx="5">
                  <c:v>24631.0587045506</c:v>
                </c:pt>
                <c:pt idx="6">
                  <c:v>39087.328163624603</c:v>
                </c:pt>
                <c:pt idx="7">
                  <c:v>42333.447193334498</c:v>
                </c:pt>
                <c:pt idx="8">
                  <c:v>21967.687571135601</c:v>
                </c:pt>
                <c:pt idx="9">
                  <c:v>26729.467210286999</c:v>
                </c:pt>
                <c:pt idx="10">
                  <c:v>21250.625498048801</c:v>
                </c:pt>
                <c:pt idx="11">
                  <c:v>24739.677636627701</c:v>
                </c:pt>
                <c:pt idx="12">
                  <c:v>31134.222891445799</c:v>
                </c:pt>
                <c:pt idx="13">
                  <c:v>24873.255920891999</c:v>
                </c:pt>
                <c:pt idx="14">
                  <c:v>14602.0776200769</c:v>
                </c:pt>
              </c:numCache>
            </c:numRef>
          </c:val>
          <c:extLst>
            <c:ext xmlns:c16="http://schemas.microsoft.com/office/drawing/2014/chart" uri="{C3380CC4-5D6E-409C-BE32-E72D297353CC}">
              <c16:uniqueId val="{00000000-A48F-4491-B1E7-09B85C9DCB65}"/>
            </c:ext>
          </c:extLst>
        </c:ser>
        <c:dLbls>
          <c:showLegendKey val="0"/>
          <c:showVal val="0"/>
          <c:showCatName val="0"/>
          <c:showSerName val="0"/>
          <c:showPercent val="0"/>
          <c:showBubbleSize val="0"/>
        </c:dLbls>
        <c:gapWidth val="150"/>
        <c:axId val="335032704"/>
        <c:axId val="335034240"/>
      </c:barChart>
      <c:scatterChart>
        <c:scatterStyle val="lineMarker"/>
        <c:varyColors val="0"/>
        <c:ser>
          <c:idx val="1"/>
          <c:order val="0"/>
          <c:tx>
            <c:strRef>
              <c:f>'D_Ch2-2'!$I$60</c:f>
              <c:strCache>
                <c:ptCount val="1"/>
                <c:pt idx="0">
                  <c:v>Rapport à l'emploi total</c:v>
                </c:pt>
              </c:strCache>
            </c:strRef>
          </c:tx>
          <c:spPr>
            <a:ln w="28575">
              <a:noFill/>
            </a:ln>
          </c:spPr>
          <c:marker>
            <c:symbol val="dash"/>
            <c:size val="20"/>
          </c:marker>
          <c:xVal>
            <c:strRef>
              <c:f>'D_Ch2-2'!$B$61:$B$75</c:f>
              <c:strCache>
                <c:ptCount val="15"/>
                <c:pt idx="0">
                  <c:v>Rouen</c:v>
                </c:pt>
                <c:pt idx="1">
                  <c:v>Lille</c:v>
                </c:pt>
                <c:pt idx="2">
                  <c:v>Lens</c:v>
                </c:pt>
                <c:pt idx="3">
                  <c:v>Strasbourg</c:v>
                </c:pt>
                <c:pt idx="4">
                  <c:v>Nantes</c:v>
                </c:pt>
                <c:pt idx="5">
                  <c:v>Rennes</c:v>
                </c:pt>
                <c:pt idx="6">
                  <c:v>Bordeaux</c:v>
                </c:pt>
                <c:pt idx="7">
                  <c:v>Toulouse</c:v>
                </c:pt>
                <c:pt idx="8">
                  <c:v>Grenoble</c:v>
                </c:pt>
                <c:pt idx="9">
                  <c:v>Lyon</c:v>
                </c:pt>
                <c:pt idx="10">
                  <c:v>Montpellier</c:v>
                </c:pt>
                <c:pt idx="11">
                  <c:v>Bassin Niçois</c:v>
                </c:pt>
                <c:pt idx="12">
                  <c:v>Marseille</c:v>
                </c:pt>
                <c:pt idx="13">
                  <c:v>Bassin Toulonnais</c:v>
                </c:pt>
                <c:pt idx="14">
                  <c:v>Bassin d'Avignon</c:v>
                </c:pt>
              </c:strCache>
            </c:strRef>
          </c:xVal>
          <c:yVal>
            <c:numRef>
              <c:f>'D_Ch2-2'!$I$61:$I$75</c:f>
              <c:numCache>
                <c:formatCode>0%</c:formatCode>
                <c:ptCount val="15"/>
                <c:pt idx="0">
                  <c:v>7.0061842043917855E-2</c:v>
                </c:pt>
                <c:pt idx="1">
                  <c:v>8.8162148685600336E-2</c:v>
                </c:pt>
                <c:pt idx="2">
                  <c:v>8.5808185040891313E-2</c:v>
                </c:pt>
                <c:pt idx="3">
                  <c:v>7.9465870414390252E-2</c:v>
                </c:pt>
                <c:pt idx="4">
                  <c:v>8.0523300288726243E-2</c:v>
                </c:pt>
                <c:pt idx="5">
                  <c:v>8.0444805360077212E-2</c:v>
                </c:pt>
                <c:pt idx="6">
                  <c:v>8.5495418774200499E-2</c:v>
                </c:pt>
                <c:pt idx="7">
                  <c:v>7.8563325670349252E-2</c:v>
                </c:pt>
                <c:pt idx="8">
                  <c:v>8.0147262478922204E-2</c:v>
                </c:pt>
                <c:pt idx="9">
                  <c:v>8.6633085978339797E-2</c:v>
                </c:pt>
                <c:pt idx="10">
                  <c:v>8.8843200617068629E-2</c:v>
                </c:pt>
                <c:pt idx="11">
                  <c:v>0.11680475588130443</c:v>
                </c:pt>
                <c:pt idx="12">
                  <c:v>8.9256638709882707E-2</c:v>
                </c:pt>
                <c:pt idx="13">
                  <c:v>0.12082561590206764</c:v>
                </c:pt>
                <c:pt idx="14">
                  <c:v>0.16404902851780781</c:v>
                </c:pt>
              </c:numCache>
            </c:numRef>
          </c:yVal>
          <c:smooth val="0"/>
          <c:extLst>
            <c:ext xmlns:c16="http://schemas.microsoft.com/office/drawing/2014/chart" uri="{C3380CC4-5D6E-409C-BE32-E72D297353CC}">
              <c16:uniqueId val="{00000001-A48F-4491-B1E7-09B85C9DCB65}"/>
            </c:ext>
          </c:extLst>
        </c:ser>
        <c:dLbls>
          <c:showLegendKey val="0"/>
          <c:showVal val="0"/>
          <c:showCatName val="0"/>
          <c:showSerName val="0"/>
          <c:showPercent val="0"/>
          <c:showBubbleSize val="0"/>
        </c:dLbls>
        <c:axId val="335062528"/>
        <c:axId val="335035776"/>
      </c:scatterChart>
      <c:catAx>
        <c:axId val="335032704"/>
        <c:scaling>
          <c:orientation val="minMax"/>
        </c:scaling>
        <c:delete val="0"/>
        <c:axPos val="b"/>
        <c:numFmt formatCode="General" sourceLinked="1"/>
        <c:majorTickMark val="out"/>
        <c:minorTickMark val="none"/>
        <c:tickLblPos val="nextTo"/>
        <c:txPr>
          <a:bodyPr rot="-5400000" vert="horz"/>
          <a:lstStyle/>
          <a:p>
            <a:pPr>
              <a:defRPr sz="800" baseline="0">
                <a:latin typeface="Calibri" panose="020F0502020204030204" pitchFamily="34" charset="0"/>
              </a:defRPr>
            </a:pPr>
            <a:endParaRPr lang="fr-FR"/>
          </a:p>
        </c:txPr>
        <c:crossAx val="335034240"/>
        <c:crosses val="autoZero"/>
        <c:auto val="1"/>
        <c:lblAlgn val="ctr"/>
        <c:lblOffset val="100"/>
        <c:noMultiLvlLbl val="0"/>
      </c:catAx>
      <c:valAx>
        <c:axId val="33503424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800"/>
            </a:pPr>
            <a:endParaRPr lang="fr-FR"/>
          </a:p>
        </c:txPr>
        <c:crossAx val="335032704"/>
        <c:crosses val="autoZero"/>
        <c:crossBetween val="between"/>
      </c:valAx>
      <c:valAx>
        <c:axId val="335035776"/>
        <c:scaling>
          <c:orientation val="minMax"/>
        </c:scaling>
        <c:delete val="0"/>
        <c:axPos val="r"/>
        <c:title>
          <c:tx>
            <c:rich>
              <a:bodyPr rot="-5400000" vert="horz" anchor="t" anchorCtr="0"/>
              <a:lstStyle/>
              <a:p>
                <a:pPr>
                  <a:defRPr/>
                </a:pPr>
                <a:r>
                  <a:rPr lang="fr-FR" baseline="0"/>
                  <a:t>Rapport à l'emploi  total</a:t>
                </a:r>
                <a:endParaRPr lang="fr-FR"/>
              </a:p>
            </c:rich>
          </c:tx>
          <c:overlay val="0"/>
        </c:title>
        <c:numFmt formatCode="0%" sourceLinked="1"/>
        <c:majorTickMark val="out"/>
        <c:minorTickMark val="none"/>
        <c:tickLblPos val="nextTo"/>
        <c:txPr>
          <a:bodyPr/>
          <a:lstStyle/>
          <a:p>
            <a:pPr>
              <a:defRPr sz="800"/>
            </a:pPr>
            <a:endParaRPr lang="fr-FR"/>
          </a:p>
        </c:txPr>
        <c:crossAx val="335062528"/>
        <c:crosses val="max"/>
        <c:crossBetween val="midCat"/>
      </c:valAx>
      <c:valAx>
        <c:axId val="335062528"/>
        <c:scaling>
          <c:orientation val="minMax"/>
        </c:scaling>
        <c:delete val="1"/>
        <c:axPos val="b"/>
        <c:majorTickMark val="out"/>
        <c:minorTickMark val="none"/>
        <c:tickLblPos val="nextTo"/>
        <c:crossAx val="335035776"/>
        <c:crosses val="autoZero"/>
        <c:crossBetween val="midCat"/>
      </c:valAx>
    </c:plotArea>
    <c:legend>
      <c:legendPos val="b"/>
      <c:layout>
        <c:manualLayout>
          <c:xMode val="edge"/>
          <c:yMode val="edge"/>
          <c:x val="7.6914842075384904E-2"/>
          <c:y val="3.7841650547458909E-2"/>
          <c:w val="0.81770415316779066"/>
          <c:h val="7.8924836277568938E-2"/>
        </c:manualLayout>
      </c:layout>
      <c:overlay val="0"/>
      <c:txPr>
        <a:bodyPr/>
        <a:lstStyle/>
        <a:p>
          <a:pPr>
            <a:defRPr sz="1000" b="1"/>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216179372927225E-2"/>
          <c:y val="8.4145238302776731E-2"/>
          <c:w val="0.61890088960118927"/>
          <c:h val="0.76019211140274134"/>
        </c:manualLayout>
      </c:layout>
      <c:bubbleChart>
        <c:varyColors val="0"/>
        <c:ser>
          <c:idx val="0"/>
          <c:order val="0"/>
          <c:tx>
            <c:strRef>
              <c:f>'D_Ch2-2'!$C$83</c:f>
              <c:strCache>
                <c:ptCount val="1"/>
                <c:pt idx="0">
                  <c:v>Agents d'entretien y compris ATSEM</c:v>
                </c:pt>
              </c:strCache>
            </c:strRef>
          </c:tx>
          <c:spPr>
            <a:ln w="25400">
              <a:noFill/>
            </a:ln>
          </c:spPr>
          <c:invertIfNegative val="0"/>
          <c:dLbls>
            <c:dLbl>
              <c:idx val="0"/>
              <c:spPr>
                <a:noFill/>
                <a:ln>
                  <a:noFill/>
                </a:ln>
              </c:spPr>
              <c:txPr>
                <a:bodyPr/>
                <a:lstStyle/>
                <a:p>
                  <a:pPr>
                    <a:defRPr sz="800" b="1">
                      <a:solidFill>
                        <a:schemeClr val="bg1"/>
                      </a:solidFill>
                    </a:defRPr>
                  </a:pPr>
                  <a:endParaRPr lang="fr-FR"/>
                </a:p>
              </c:txPr>
              <c:dLblPos val="ctr"/>
              <c:showLegendKey val="0"/>
              <c:showVal val="0"/>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0-AC7F-4532-B847-B395C214C68B}"/>
                </c:ext>
              </c:extLst>
            </c:dLbl>
            <c:spPr>
              <a:solidFill>
                <a:srgbClr val="4F81BD"/>
              </a:solidFill>
              <a:ln>
                <a:solidFill>
                  <a:srgbClr val="4F81BD"/>
                </a:solidFill>
              </a:ln>
            </c:spPr>
            <c:txPr>
              <a:bodyPr/>
              <a:lstStyle/>
              <a:p>
                <a:pPr>
                  <a:defRPr sz="800" b="1">
                    <a:solidFill>
                      <a:schemeClr val="bg1"/>
                    </a:solidFill>
                  </a:defRPr>
                </a:pPr>
                <a:endParaRPr lang="fr-FR"/>
              </a:p>
            </c:txPr>
            <c:dLblPos val="l"/>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xVal>
            <c:numRef>
              <c:f>'D_Ch2-2'!$F$83</c:f>
              <c:numCache>
                <c:formatCode>0.00%</c:formatCode>
                <c:ptCount val="1"/>
                <c:pt idx="0">
                  <c:v>0.1439085529377353</c:v>
                </c:pt>
              </c:numCache>
            </c:numRef>
          </c:xVal>
          <c:yVal>
            <c:numRef>
              <c:f>'D_Ch2-2'!$E$83</c:f>
              <c:numCache>
                <c:formatCode>0.00%</c:formatCode>
                <c:ptCount val="1"/>
                <c:pt idx="0">
                  <c:v>0.56021616520393269</c:v>
                </c:pt>
              </c:numCache>
            </c:numRef>
          </c:yVal>
          <c:bubbleSize>
            <c:numRef>
              <c:f>'D_Ch2-2'!$D$83</c:f>
              <c:numCache>
                <c:formatCode>#,##0</c:formatCode>
                <c:ptCount val="1"/>
                <c:pt idx="0">
                  <c:v>2976.0963388</c:v>
                </c:pt>
              </c:numCache>
            </c:numRef>
          </c:bubbleSize>
          <c:bubble3D val="0"/>
          <c:extLst>
            <c:ext xmlns:c16="http://schemas.microsoft.com/office/drawing/2014/chart" uri="{C3380CC4-5D6E-409C-BE32-E72D297353CC}">
              <c16:uniqueId val="{00000001-AC7F-4532-B847-B395C214C68B}"/>
            </c:ext>
          </c:extLst>
        </c:ser>
        <c:ser>
          <c:idx val="1"/>
          <c:order val="1"/>
          <c:tx>
            <c:strRef>
              <c:f>'D_Ch2-2'!$C$84</c:f>
              <c:strCache>
                <c:ptCount val="1"/>
                <c:pt idx="0">
                  <c:v>Télévendeurs</c:v>
                </c:pt>
              </c:strCache>
            </c:strRef>
          </c:tx>
          <c:spPr>
            <a:ln w="25400">
              <a:noFill/>
            </a:ln>
          </c:spPr>
          <c:invertIfNegative val="0"/>
          <c:dLbls>
            <c:spPr>
              <a:noFill/>
              <a:ln>
                <a:noFill/>
              </a:ln>
              <a:effectLst/>
            </c:spPr>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'D_Ch2-2'!$F$84</c:f>
              <c:numCache>
                <c:formatCode>0.00%</c:formatCode>
                <c:ptCount val="1"/>
                <c:pt idx="0">
                  <c:v>4.3585204029478665E-2</c:v>
                </c:pt>
              </c:numCache>
            </c:numRef>
          </c:xVal>
          <c:yVal>
            <c:numRef>
              <c:f>'D_Ch2-2'!$E$84</c:f>
              <c:numCache>
                <c:formatCode>0.00%</c:formatCode>
                <c:ptCount val="1"/>
                <c:pt idx="0">
                  <c:v>0.90892128354184498</c:v>
                </c:pt>
              </c:numCache>
            </c:numRef>
          </c:yVal>
          <c:bubbleSize>
            <c:numRef>
              <c:f>'D_Ch2-2'!$D$84</c:f>
              <c:numCache>
                <c:formatCode>#,##0</c:formatCode>
                <c:ptCount val="1"/>
                <c:pt idx="0">
                  <c:v>1397.6380833000001</c:v>
                </c:pt>
              </c:numCache>
            </c:numRef>
          </c:bubbleSize>
          <c:bubble3D val="0"/>
          <c:extLst>
            <c:ext xmlns:c16="http://schemas.microsoft.com/office/drawing/2014/chart" uri="{C3380CC4-5D6E-409C-BE32-E72D297353CC}">
              <c16:uniqueId val="{00000002-AC7F-4532-B847-B395C214C68B}"/>
            </c:ext>
          </c:extLst>
        </c:ser>
        <c:ser>
          <c:idx val="2"/>
          <c:order val="2"/>
          <c:tx>
            <c:strRef>
              <c:f>'D_Ch2-2'!$C$85</c:f>
              <c:strCache>
                <c:ptCount val="1"/>
                <c:pt idx="0">
                  <c:v>Professionnels de l'animation </c:v>
                </c:pt>
              </c:strCache>
            </c:strRef>
          </c:tx>
          <c:spPr>
            <a:ln w="25400">
              <a:noFill/>
            </a:ln>
          </c:spPr>
          <c:invertIfNegative val="0"/>
          <c:dLbls>
            <c:spPr>
              <a:noFill/>
              <a:ln>
                <a:noFill/>
              </a:ln>
              <a:effectLst/>
            </c:spPr>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'D_Ch2-2'!$F$85</c:f>
              <c:numCache>
                <c:formatCode>0.00%</c:formatCode>
                <c:ptCount val="1"/>
                <c:pt idx="0">
                  <c:v>0.44482681039299582</c:v>
                </c:pt>
              </c:numCache>
            </c:numRef>
          </c:xVal>
          <c:yVal>
            <c:numRef>
              <c:f>'D_Ch2-2'!$E$85</c:f>
              <c:numCache>
                <c:formatCode>0.00%</c:formatCode>
                <c:ptCount val="1"/>
                <c:pt idx="0">
                  <c:v>0.32693120209937621</c:v>
                </c:pt>
              </c:numCache>
            </c:numRef>
          </c:yVal>
          <c:bubbleSize>
            <c:numRef>
              <c:f>'D_Ch2-2'!$D$85</c:f>
              <c:numCache>
                <c:formatCode>#,##0</c:formatCode>
                <c:ptCount val="1"/>
                <c:pt idx="0">
                  <c:v>1355.2285819000001</c:v>
                </c:pt>
              </c:numCache>
            </c:numRef>
          </c:bubbleSize>
          <c:bubble3D val="0"/>
          <c:extLst>
            <c:ext xmlns:c16="http://schemas.microsoft.com/office/drawing/2014/chart" uri="{C3380CC4-5D6E-409C-BE32-E72D297353CC}">
              <c16:uniqueId val="{00000003-AC7F-4532-B847-B395C214C68B}"/>
            </c:ext>
          </c:extLst>
        </c:ser>
        <c:ser>
          <c:idx val="3"/>
          <c:order val="3"/>
          <c:tx>
            <c:strRef>
              <c:f>'D_Ch2-2'!$C$86</c:f>
              <c:strCache>
                <c:ptCount val="1"/>
                <c:pt idx="0">
                  <c:v>Apprentis de restauration</c:v>
                </c:pt>
              </c:strCache>
            </c:strRef>
          </c:tx>
          <c:spPr>
            <a:ln w="25400">
              <a:noFill/>
            </a:ln>
          </c:spPr>
          <c:invertIfNegative val="0"/>
          <c:dLbls>
            <c:spPr>
              <a:noFill/>
              <a:ln>
                <a:noFill/>
              </a:ln>
              <a:effectLst/>
            </c:spPr>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'D_Ch2-2'!$F$86</c:f>
              <c:numCache>
                <c:formatCode>0.00%</c:formatCode>
                <c:ptCount val="1"/>
                <c:pt idx="0">
                  <c:v>0.12636214894485301</c:v>
                </c:pt>
              </c:numCache>
            </c:numRef>
          </c:xVal>
          <c:yVal>
            <c:numRef>
              <c:f>'D_Ch2-2'!$E$86</c:f>
              <c:numCache>
                <c:formatCode>0.00%</c:formatCode>
                <c:ptCount val="1"/>
                <c:pt idx="0">
                  <c:v>0.49253124914751817</c:v>
                </c:pt>
              </c:numCache>
            </c:numRef>
          </c:yVal>
          <c:bubbleSize>
            <c:numRef>
              <c:f>'D_Ch2-2'!$D$86</c:f>
              <c:numCache>
                <c:formatCode>#,##0</c:formatCode>
                <c:ptCount val="1"/>
                <c:pt idx="0">
                  <c:v>1112.1278262000001</c:v>
                </c:pt>
              </c:numCache>
            </c:numRef>
          </c:bubbleSize>
          <c:bubble3D val="0"/>
          <c:extLst>
            <c:ext xmlns:c16="http://schemas.microsoft.com/office/drawing/2014/chart" uri="{C3380CC4-5D6E-409C-BE32-E72D297353CC}">
              <c16:uniqueId val="{00000004-AC7F-4532-B847-B395C214C68B}"/>
            </c:ext>
          </c:extLst>
        </c:ser>
        <c:ser>
          <c:idx val="4"/>
          <c:order val="4"/>
          <c:tx>
            <c:strRef>
              <c:f>'D_Ch2-2'!$C$87</c:f>
              <c:strCache>
                <c:ptCount val="1"/>
                <c:pt idx="0">
                  <c:v>Manutentionnaires</c:v>
                </c:pt>
              </c:strCache>
            </c:strRef>
          </c:tx>
          <c:spPr>
            <a:ln w="25400">
              <a:noFill/>
            </a:ln>
          </c:spPr>
          <c:invertIfNegative val="0"/>
          <c:dLbls>
            <c:spPr>
              <a:noFill/>
              <a:ln>
                <a:noFill/>
              </a:ln>
              <a:effectLst/>
            </c:spPr>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'D_Ch2-2'!$F$87</c:f>
              <c:numCache>
                <c:formatCode>0.00%</c:formatCode>
                <c:ptCount val="1"/>
                <c:pt idx="0">
                  <c:v>0.35158365462920649</c:v>
                </c:pt>
              </c:numCache>
            </c:numRef>
          </c:xVal>
          <c:yVal>
            <c:numRef>
              <c:f>'D_Ch2-2'!$E$87</c:f>
              <c:numCache>
                <c:formatCode>0.00%</c:formatCode>
                <c:ptCount val="1"/>
                <c:pt idx="0">
                  <c:v>0.45547265786629987</c:v>
                </c:pt>
              </c:numCache>
            </c:numRef>
          </c:yVal>
          <c:bubbleSize>
            <c:numRef>
              <c:f>'D_Ch2-2'!$D$87</c:f>
              <c:numCache>
                <c:formatCode>#,##0</c:formatCode>
                <c:ptCount val="1"/>
                <c:pt idx="0">
                  <c:v>997.95615493000003</c:v>
                </c:pt>
              </c:numCache>
            </c:numRef>
          </c:bubbleSize>
          <c:bubble3D val="0"/>
          <c:extLst>
            <c:ext xmlns:c16="http://schemas.microsoft.com/office/drawing/2014/chart" uri="{C3380CC4-5D6E-409C-BE32-E72D297353CC}">
              <c16:uniqueId val="{00000005-AC7F-4532-B847-B395C214C68B}"/>
            </c:ext>
          </c:extLst>
        </c:ser>
        <c:ser>
          <c:idx val="5"/>
          <c:order val="5"/>
          <c:tx>
            <c:strRef>
              <c:f>'D_Ch2-2'!$C$88</c:f>
              <c:strCache>
                <c:ptCount val="1"/>
                <c:pt idx="0">
                  <c:v>Aides à domicile</c:v>
                </c:pt>
              </c:strCache>
            </c:strRef>
          </c:tx>
          <c:spPr>
            <a:ln w="25400">
              <a:noFill/>
            </a:ln>
          </c:spPr>
          <c:invertIfNegative val="0"/>
          <c:dLbls>
            <c:spPr>
              <a:noFill/>
              <a:ln>
                <a:noFill/>
              </a:ln>
              <a:effectLst/>
            </c:spPr>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'D_Ch2-2'!$F$88</c:f>
              <c:numCache>
                <c:formatCode>0.00%</c:formatCode>
                <c:ptCount val="1"/>
                <c:pt idx="0">
                  <c:v>0.16650729977093828</c:v>
                </c:pt>
              </c:numCache>
            </c:numRef>
          </c:xVal>
          <c:yVal>
            <c:numRef>
              <c:f>'D_Ch2-2'!$E$88</c:f>
              <c:numCache>
                <c:formatCode>0.00%</c:formatCode>
                <c:ptCount val="1"/>
                <c:pt idx="0">
                  <c:v>0.83186810603881689</c:v>
                </c:pt>
              </c:numCache>
            </c:numRef>
          </c:yVal>
          <c:bubbleSize>
            <c:numRef>
              <c:f>'D_Ch2-2'!$D$88</c:f>
              <c:numCache>
                <c:formatCode>#,##0</c:formatCode>
                <c:ptCount val="1"/>
                <c:pt idx="0">
                  <c:v>972.74556901000005</c:v>
                </c:pt>
              </c:numCache>
            </c:numRef>
          </c:bubbleSize>
          <c:bubble3D val="0"/>
          <c:extLst>
            <c:ext xmlns:c16="http://schemas.microsoft.com/office/drawing/2014/chart" uri="{C3380CC4-5D6E-409C-BE32-E72D297353CC}">
              <c16:uniqueId val="{00000006-AC7F-4532-B847-B395C214C68B}"/>
            </c:ext>
          </c:extLst>
        </c:ser>
        <c:ser>
          <c:idx val="6"/>
          <c:order val="6"/>
          <c:tx>
            <c:strRef>
              <c:f>'D_Ch2-2'!$C$89</c:f>
              <c:strCache>
                <c:ptCount val="1"/>
                <c:pt idx="0">
                  <c:v>Employés de libre service</c:v>
                </c:pt>
              </c:strCache>
            </c:strRef>
          </c:tx>
          <c:spPr>
            <a:ln w="25400">
              <a:noFill/>
            </a:ln>
          </c:spPr>
          <c:invertIfNegative val="0"/>
          <c:dLbls>
            <c:spPr>
              <a:noFill/>
              <a:ln>
                <a:noFill/>
              </a:ln>
              <a:effectLst/>
            </c:spPr>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'D_Ch2-2'!$F$89</c:f>
              <c:numCache>
                <c:formatCode>0.00%</c:formatCode>
                <c:ptCount val="1"/>
                <c:pt idx="0">
                  <c:v>0.19402526165121861</c:v>
                </c:pt>
              </c:numCache>
            </c:numRef>
          </c:xVal>
          <c:yVal>
            <c:numRef>
              <c:f>'D_Ch2-2'!$E$89</c:f>
              <c:numCache>
                <c:formatCode>0.00%</c:formatCode>
                <c:ptCount val="1"/>
                <c:pt idx="0">
                  <c:v>0.23015954890998874</c:v>
                </c:pt>
              </c:numCache>
            </c:numRef>
          </c:yVal>
          <c:bubbleSize>
            <c:numRef>
              <c:f>'D_Ch2-2'!$D$89</c:f>
              <c:numCache>
                <c:formatCode>#,##0</c:formatCode>
                <c:ptCount val="1"/>
                <c:pt idx="0">
                  <c:v>968.54396128999997</c:v>
                </c:pt>
              </c:numCache>
            </c:numRef>
          </c:bubbleSize>
          <c:bubble3D val="0"/>
          <c:extLst>
            <c:ext xmlns:c16="http://schemas.microsoft.com/office/drawing/2014/chart" uri="{C3380CC4-5D6E-409C-BE32-E72D297353CC}">
              <c16:uniqueId val="{00000007-AC7F-4532-B847-B395C214C68B}"/>
            </c:ext>
          </c:extLst>
        </c:ser>
        <c:ser>
          <c:idx val="7"/>
          <c:order val="7"/>
          <c:tx>
            <c:strRef>
              <c:f>'D_Ch2-2'!$C$90</c:f>
              <c:strCache>
                <c:ptCount val="1"/>
                <c:pt idx="0">
                  <c:v>Aides soignants</c:v>
                </c:pt>
              </c:strCache>
            </c:strRef>
          </c:tx>
          <c:spPr>
            <a:ln w="25400">
              <a:noFill/>
            </a:ln>
          </c:spPr>
          <c:invertIfNegative val="0"/>
          <c:dLbls>
            <c:spPr>
              <a:noFill/>
              <a:ln>
                <a:noFill/>
              </a:ln>
              <a:effectLst/>
            </c:spPr>
            <c:txPr>
              <a:bodyPr/>
              <a:lstStyle/>
              <a:p>
                <a:pPr algn="ctr">
                  <a:defRPr lang="fr-FR" sz="800" b="0"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'D_Ch2-2'!$F$90</c:f>
              <c:numCache>
                <c:formatCode>0.00%</c:formatCode>
                <c:ptCount val="1"/>
                <c:pt idx="0">
                  <c:v>0.17288689483515915</c:v>
                </c:pt>
              </c:numCache>
            </c:numRef>
          </c:xVal>
          <c:yVal>
            <c:numRef>
              <c:f>'D_Ch2-2'!$E$90</c:f>
              <c:numCache>
                <c:formatCode>0.00%</c:formatCode>
                <c:ptCount val="1"/>
                <c:pt idx="0">
                  <c:v>0.55537272205203836</c:v>
                </c:pt>
              </c:numCache>
            </c:numRef>
          </c:yVal>
          <c:bubbleSize>
            <c:numRef>
              <c:f>'D_Ch2-2'!$D$90</c:f>
              <c:numCache>
                <c:formatCode>#,##0</c:formatCode>
                <c:ptCount val="1"/>
                <c:pt idx="0">
                  <c:v>938.84165422000001</c:v>
                </c:pt>
              </c:numCache>
            </c:numRef>
          </c:bubbleSize>
          <c:bubble3D val="0"/>
          <c:extLst>
            <c:ext xmlns:c16="http://schemas.microsoft.com/office/drawing/2014/chart" uri="{C3380CC4-5D6E-409C-BE32-E72D297353CC}">
              <c16:uniqueId val="{00000008-AC7F-4532-B847-B395C214C68B}"/>
            </c:ext>
          </c:extLst>
        </c:ser>
        <c:ser>
          <c:idx val="8"/>
          <c:order val="8"/>
          <c:tx>
            <c:strRef>
              <c:f>'D_Ch2-2'!$C$91</c:f>
              <c:strCache>
                <c:ptCount val="1"/>
                <c:pt idx="0">
                  <c:v>Serveurs </c:v>
                </c:pt>
              </c:strCache>
            </c:strRef>
          </c:tx>
          <c:spPr>
            <a:ln w="25400">
              <a:noFill/>
            </a:ln>
          </c:spPr>
          <c:invertIfNegative val="0"/>
          <c:dLbls>
            <c:spPr>
              <a:noFill/>
              <a:ln>
                <a:noFill/>
              </a:ln>
              <a:effectLst/>
            </c:spPr>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'D_Ch2-2'!$F$91</c:f>
              <c:numCache>
                <c:formatCode>0.00%</c:formatCode>
                <c:ptCount val="1"/>
                <c:pt idx="0">
                  <c:v>0.36177355548619317</c:v>
                </c:pt>
              </c:numCache>
            </c:numRef>
          </c:xVal>
          <c:yVal>
            <c:numRef>
              <c:f>'D_Ch2-2'!$E$91</c:f>
              <c:numCache>
                <c:formatCode>0.00%</c:formatCode>
                <c:ptCount val="1"/>
                <c:pt idx="0">
                  <c:v>0.38849228242516326</c:v>
                </c:pt>
              </c:numCache>
            </c:numRef>
          </c:yVal>
          <c:bubbleSize>
            <c:numRef>
              <c:f>'D_Ch2-2'!$D$91</c:f>
              <c:numCache>
                <c:formatCode>#,##0</c:formatCode>
                <c:ptCount val="1"/>
                <c:pt idx="0">
                  <c:v>934.92436324000005</c:v>
                </c:pt>
              </c:numCache>
            </c:numRef>
          </c:bubbleSize>
          <c:bubble3D val="0"/>
          <c:extLst>
            <c:ext xmlns:c16="http://schemas.microsoft.com/office/drawing/2014/chart" uri="{C3380CC4-5D6E-409C-BE32-E72D297353CC}">
              <c16:uniqueId val="{00000009-AC7F-4532-B847-B395C214C68B}"/>
            </c:ext>
          </c:extLst>
        </c:ser>
        <c:ser>
          <c:idx val="9"/>
          <c:order val="9"/>
          <c:tx>
            <c:strRef>
              <c:f>'D_Ch2-2'!$C$92</c:f>
              <c:strCache>
                <c:ptCount val="1"/>
                <c:pt idx="0">
                  <c:v>Viticulteurs, cueilleurs</c:v>
                </c:pt>
              </c:strCache>
            </c:strRef>
          </c:tx>
          <c:spPr>
            <a:ln w="25400">
              <a:noFill/>
            </a:ln>
          </c:spPr>
          <c:invertIfNegative val="0"/>
          <c:dLbls>
            <c:spPr>
              <a:noFill/>
              <a:ln>
                <a:noFill/>
              </a:ln>
              <a:effectLst/>
            </c:spPr>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'D_Ch2-2'!$F$92</c:f>
              <c:numCache>
                <c:formatCode>0.00%</c:formatCode>
                <c:ptCount val="1"/>
                <c:pt idx="0">
                  <c:v>0.92824435125024762</c:v>
                </c:pt>
              </c:numCache>
            </c:numRef>
          </c:xVal>
          <c:yVal>
            <c:numRef>
              <c:f>'D_Ch2-2'!$E$92</c:f>
              <c:numCache>
                <c:formatCode>0.00%</c:formatCode>
                <c:ptCount val="1"/>
                <c:pt idx="0">
                  <c:v>0.39906163057647537</c:v>
                </c:pt>
              </c:numCache>
            </c:numRef>
          </c:yVal>
          <c:bubbleSize>
            <c:numRef>
              <c:f>'D_Ch2-2'!$D$92</c:f>
              <c:numCache>
                <c:formatCode>#,##0</c:formatCode>
                <c:ptCount val="1"/>
                <c:pt idx="0">
                  <c:v>929.96587924000005</c:v>
                </c:pt>
              </c:numCache>
            </c:numRef>
          </c:bubbleSize>
          <c:bubble3D val="0"/>
          <c:extLst>
            <c:ext xmlns:c16="http://schemas.microsoft.com/office/drawing/2014/chart" uri="{C3380CC4-5D6E-409C-BE32-E72D297353CC}">
              <c16:uniqueId val="{0000000A-AC7F-4532-B847-B395C214C68B}"/>
            </c:ext>
          </c:extLst>
        </c:ser>
        <c:dLbls>
          <c:showLegendKey val="0"/>
          <c:showVal val="1"/>
          <c:showCatName val="0"/>
          <c:showSerName val="0"/>
          <c:showPercent val="0"/>
          <c:showBubbleSize val="0"/>
        </c:dLbls>
        <c:bubbleScale val="100"/>
        <c:showNegBubbles val="0"/>
        <c:axId val="335959552"/>
        <c:axId val="335961472"/>
      </c:bubbleChart>
      <c:valAx>
        <c:axId val="335959552"/>
        <c:scaling>
          <c:orientation val="minMax"/>
          <c:max val="1.2"/>
        </c:scaling>
        <c:delete val="0"/>
        <c:axPos val="b"/>
        <c:majorGridlines>
          <c:spPr>
            <a:ln w="3175">
              <a:solidFill>
                <a:schemeClr val="bg1">
                  <a:lumMod val="85000"/>
                </a:schemeClr>
              </a:solidFill>
            </a:ln>
          </c:spPr>
        </c:majorGridlines>
        <c:title>
          <c:tx>
            <c:rich>
              <a:bodyPr/>
              <a:lstStyle/>
              <a:p>
                <a:pPr>
                  <a:defRPr/>
                </a:pPr>
                <a:r>
                  <a:rPr lang="fr-FR"/>
                  <a:t>% d'emplois saisonniers</a:t>
                </a:r>
              </a:p>
            </c:rich>
          </c:tx>
          <c:overlay val="0"/>
        </c:title>
        <c:numFmt formatCode="0%" sourceLinked="0"/>
        <c:majorTickMark val="none"/>
        <c:minorTickMark val="none"/>
        <c:tickLblPos val="low"/>
        <c:txPr>
          <a:bodyPr/>
          <a:lstStyle/>
          <a:p>
            <a:pPr>
              <a:defRPr sz="800"/>
            </a:pPr>
            <a:endParaRPr lang="fr-FR"/>
          </a:p>
        </c:txPr>
        <c:crossAx val="335961472"/>
        <c:crossesAt val="0"/>
        <c:crossBetween val="midCat"/>
        <c:majorUnit val="0.2"/>
      </c:valAx>
      <c:valAx>
        <c:axId val="335961472"/>
        <c:scaling>
          <c:orientation val="minMax"/>
        </c:scaling>
        <c:delete val="0"/>
        <c:axPos val="l"/>
        <c:majorGridlines>
          <c:spPr>
            <a:ln w="3175">
              <a:solidFill>
                <a:schemeClr val="bg1">
                  <a:lumMod val="95000"/>
                </a:schemeClr>
              </a:solidFill>
            </a:ln>
          </c:spPr>
        </c:majorGridlines>
        <c:title>
          <c:tx>
            <c:rich>
              <a:bodyPr rot="-5400000" vert="horz"/>
              <a:lstStyle/>
              <a:p>
                <a:pPr>
                  <a:defRPr/>
                </a:pPr>
                <a:r>
                  <a:rPr lang="fr-FR"/>
                  <a:t>% de recrutement difficile</a:t>
                </a:r>
              </a:p>
            </c:rich>
          </c:tx>
          <c:overlay val="0"/>
        </c:title>
        <c:numFmt formatCode="0%" sourceLinked="0"/>
        <c:majorTickMark val="out"/>
        <c:minorTickMark val="none"/>
        <c:tickLblPos val="low"/>
        <c:spPr>
          <a:ln>
            <a:noFill/>
          </a:ln>
        </c:spPr>
        <c:txPr>
          <a:bodyPr/>
          <a:lstStyle/>
          <a:p>
            <a:pPr>
              <a:defRPr sz="800"/>
            </a:pPr>
            <a:endParaRPr lang="fr-FR"/>
          </a:p>
        </c:txPr>
        <c:crossAx val="335959552"/>
        <c:crosses val="autoZero"/>
        <c:crossBetween val="midCat"/>
        <c:majorUnit val="0.1"/>
      </c:valAx>
    </c:plotArea>
    <c:legend>
      <c:legendPos val="tr"/>
      <c:layout>
        <c:manualLayout>
          <c:xMode val="edge"/>
          <c:yMode val="edge"/>
          <c:x val="0.69329307287916442"/>
          <c:y val="1.0038080500053101E-2"/>
          <c:w val="0.29336132983377078"/>
          <c:h val="0.87850014412938271"/>
        </c:manualLayout>
      </c:layout>
      <c:overlay val="0"/>
      <c:txPr>
        <a:bodyPr/>
        <a:lstStyle/>
        <a:p>
          <a:pPr>
            <a:defRPr sz="750">
              <a:solidFill>
                <a:schemeClr val="tx1">
                  <a:lumMod val="75000"/>
                  <a:lumOff val="25000"/>
                </a:schemeClr>
              </a:solidFill>
            </a:defRPr>
          </a:pPr>
          <a:endParaRPr lang="fr-FR"/>
        </a:p>
      </c:txPr>
    </c:legend>
    <c:plotVisOnly val="1"/>
    <c:dispBlanksAs val="gap"/>
    <c:showDLblsOverMax val="0"/>
  </c:chart>
  <c:spPr>
    <a:ln>
      <a:noFill/>
    </a:ln>
  </c:sp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91384849895836E-2"/>
          <c:y val="5.3636379228302722E-2"/>
          <c:w val="0.28679050903896924"/>
          <c:h val="0.72095665031193124"/>
        </c:manualLayout>
      </c:layout>
      <c:barChart>
        <c:barDir val="col"/>
        <c:grouping val="stacked"/>
        <c:varyColors val="0"/>
        <c:ser>
          <c:idx val="0"/>
          <c:order val="0"/>
          <c:tx>
            <c:strRef>
              <c:f>'D_Ch2-2'!$B$28</c:f>
              <c:strCache>
                <c:ptCount val="1"/>
                <c:pt idx="0">
                  <c:v>CDI</c:v>
                </c:pt>
              </c:strCache>
            </c:strRef>
          </c:tx>
          <c:spPr>
            <a:solidFill>
              <a:schemeClr val="accent1">
                <a:lumMod val="75000"/>
              </a:schemeClr>
            </a:solidFill>
          </c:spPr>
          <c:invertIfNegative val="0"/>
          <c:cat>
            <c:strRef>
              <c:f>'D_Ch2-2'!$A$29:$A$34</c:f>
              <c:strCache>
                <c:ptCount val="6"/>
                <c:pt idx="0">
                  <c:v>3T 2016</c:v>
                </c:pt>
                <c:pt idx="1">
                  <c:v>4T 2016</c:v>
                </c:pt>
                <c:pt idx="2">
                  <c:v>1T 2017</c:v>
                </c:pt>
                <c:pt idx="3">
                  <c:v>2T 2017</c:v>
                </c:pt>
                <c:pt idx="4">
                  <c:v>3T 2017</c:v>
                </c:pt>
                <c:pt idx="5">
                  <c:v>4T 2017</c:v>
                </c:pt>
              </c:strCache>
            </c:strRef>
          </c:cat>
          <c:val>
            <c:numRef>
              <c:f>'D_Ch2-2'!$B$29:$B$34</c:f>
              <c:numCache>
                <c:formatCode>General</c:formatCode>
                <c:ptCount val="6"/>
                <c:pt idx="0">
                  <c:v>62061</c:v>
                </c:pt>
                <c:pt idx="1">
                  <c:v>57189</c:v>
                </c:pt>
                <c:pt idx="2">
                  <c:v>64223</c:v>
                </c:pt>
                <c:pt idx="3">
                  <c:v>60697</c:v>
                </c:pt>
                <c:pt idx="4">
                  <c:v>71578</c:v>
                </c:pt>
                <c:pt idx="5">
                  <c:v>67174</c:v>
                </c:pt>
              </c:numCache>
            </c:numRef>
          </c:val>
          <c:extLst>
            <c:ext xmlns:c16="http://schemas.microsoft.com/office/drawing/2014/chart" uri="{C3380CC4-5D6E-409C-BE32-E72D297353CC}">
              <c16:uniqueId val="{00000000-B7B0-4E09-A256-0E0DD6E92A4D}"/>
            </c:ext>
          </c:extLst>
        </c:ser>
        <c:ser>
          <c:idx val="1"/>
          <c:order val="1"/>
          <c:tx>
            <c:strRef>
              <c:f>'D_Ch2-2'!$C$28</c:f>
              <c:strCache>
                <c:ptCount val="1"/>
                <c:pt idx="0">
                  <c:v>CDD long</c:v>
                </c:pt>
              </c:strCache>
            </c:strRef>
          </c:tx>
          <c:spPr>
            <a:solidFill>
              <a:schemeClr val="accent4">
                <a:lumMod val="60000"/>
                <a:lumOff val="40000"/>
              </a:schemeClr>
            </a:solidFill>
          </c:spPr>
          <c:invertIfNegative val="0"/>
          <c:cat>
            <c:strRef>
              <c:f>'D_Ch2-2'!$A$29:$A$34</c:f>
              <c:strCache>
                <c:ptCount val="6"/>
                <c:pt idx="0">
                  <c:v>3T 2016</c:v>
                </c:pt>
                <c:pt idx="1">
                  <c:v>4T 2016</c:v>
                </c:pt>
                <c:pt idx="2">
                  <c:v>1T 2017</c:v>
                </c:pt>
                <c:pt idx="3">
                  <c:v>2T 2017</c:v>
                </c:pt>
                <c:pt idx="4">
                  <c:v>3T 2017</c:v>
                </c:pt>
                <c:pt idx="5">
                  <c:v>4T 2017</c:v>
                </c:pt>
              </c:strCache>
            </c:strRef>
          </c:cat>
          <c:val>
            <c:numRef>
              <c:f>'D_Ch2-2'!$C$29:$C$34</c:f>
              <c:numCache>
                <c:formatCode>General</c:formatCode>
                <c:ptCount val="6"/>
                <c:pt idx="0">
                  <c:v>139314</c:v>
                </c:pt>
                <c:pt idx="1">
                  <c:v>62838</c:v>
                </c:pt>
                <c:pt idx="2">
                  <c:v>71644</c:v>
                </c:pt>
                <c:pt idx="3">
                  <c:v>100923</c:v>
                </c:pt>
                <c:pt idx="4">
                  <c:v>143594</c:v>
                </c:pt>
                <c:pt idx="5">
                  <c:v>64245</c:v>
                </c:pt>
              </c:numCache>
            </c:numRef>
          </c:val>
          <c:extLst>
            <c:ext xmlns:c16="http://schemas.microsoft.com/office/drawing/2014/chart" uri="{C3380CC4-5D6E-409C-BE32-E72D297353CC}">
              <c16:uniqueId val="{00000001-B7B0-4E09-A256-0E0DD6E92A4D}"/>
            </c:ext>
          </c:extLst>
        </c:ser>
        <c:ser>
          <c:idx val="2"/>
          <c:order val="2"/>
          <c:tx>
            <c:strRef>
              <c:f>'D_Ch2-2'!$D$28</c:f>
              <c:strCache>
                <c:ptCount val="1"/>
                <c:pt idx="0">
                  <c:v>CDD court</c:v>
                </c:pt>
              </c:strCache>
            </c:strRef>
          </c:tx>
          <c:spPr>
            <a:solidFill>
              <a:schemeClr val="accent4">
                <a:lumMod val="20000"/>
                <a:lumOff val="80000"/>
              </a:schemeClr>
            </a:solidFill>
          </c:spPr>
          <c:invertIfNegative val="0"/>
          <c:cat>
            <c:strRef>
              <c:f>'D_Ch2-2'!$A$29:$A$34</c:f>
              <c:strCache>
                <c:ptCount val="6"/>
                <c:pt idx="0">
                  <c:v>3T 2016</c:v>
                </c:pt>
                <c:pt idx="1">
                  <c:v>4T 2016</c:v>
                </c:pt>
                <c:pt idx="2">
                  <c:v>1T 2017</c:v>
                </c:pt>
                <c:pt idx="3">
                  <c:v>2T 2017</c:v>
                </c:pt>
                <c:pt idx="4">
                  <c:v>3T 2017</c:v>
                </c:pt>
                <c:pt idx="5">
                  <c:v>4T 2017</c:v>
                </c:pt>
              </c:strCache>
            </c:strRef>
          </c:cat>
          <c:val>
            <c:numRef>
              <c:f>'D_Ch2-2'!$D$29:$D$34</c:f>
              <c:numCache>
                <c:formatCode>General</c:formatCode>
                <c:ptCount val="6"/>
                <c:pt idx="0">
                  <c:v>359823</c:v>
                </c:pt>
                <c:pt idx="1">
                  <c:v>321451</c:v>
                </c:pt>
                <c:pt idx="2">
                  <c:v>297184</c:v>
                </c:pt>
                <c:pt idx="3">
                  <c:v>355374</c:v>
                </c:pt>
                <c:pt idx="4">
                  <c:v>377238</c:v>
                </c:pt>
                <c:pt idx="5">
                  <c:v>339719</c:v>
                </c:pt>
              </c:numCache>
            </c:numRef>
          </c:val>
          <c:extLst>
            <c:ext xmlns:c16="http://schemas.microsoft.com/office/drawing/2014/chart" uri="{C3380CC4-5D6E-409C-BE32-E72D297353CC}">
              <c16:uniqueId val="{00000002-B7B0-4E09-A256-0E0DD6E92A4D}"/>
            </c:ext>
          </c:extLst>
        </c:ser>
        <c:dLbls>
          <c:showLegendKey val="0"/>
          <c:showVal val="0"/>
          <c:showCatName val="0"/>
          <c:showSerName val="0"/>
          <c:showPercent val="0"/>
          <c:showBubbleSize val="0"/>
        </c:dLbls>
        <c:gapWidth val="150"/>
        <c:overlap val="100"/>
        <c:axId val="337058048"/>
        <c:axId val="337068032"/>
      </c:barChart>
      <c:catAx>
        <c:axId val="337058048"/>
        <c:scaling>
          <c:orientation val="minMax"/>
        </c:scaling>
        <c:delete val="0"/>
        <c:axPos val="b"/>
        <c:numFmt formatCode="General" sourceLinked="0"/>
        <c:majorTickMark val="out"/>
        <c:minorTickMark val="none"/>
        <c:tickLblPos val="nextTo"/>
        <c:txPr>
          <a:bodyPr/>
          <a:lstStyle/>
          <a:p>
            <a:pPr>
              <a:defRPr sz="800"/>
            </a:pPr>
            <a:endParaRPr lang="fr-FR"/>
          </a:p>
        </c:txPr>
        <c:crossAx val="337068032"/>
        <c:crosses val="autoZero"/>
        <c:auto val="1"/>
        <c:lblAlgn val="ctr"/>
        <c:lblOffset val="100"/>
        <c:noMultiLvlLbl val="0"/>
      </c:catAx>
      <c:valAx>
        <c:axId val="337068032"/>
        <c:scaling>
          <c:orientation val="minMax"/>
          <c:max val="600000"/>
        </c:scaling>
        <c:delete val="0"/>
        <c:axPos val="l"/>
        <c:majorGridlines/>
        <c:numFmt formatCode="#,##0" sourceLinked="0"/>
        <c:majorTickMark val="out"/>
        <c:minorTickMark val="none"/>
        <c:tickLblPos val="nextTo"/>
        <c:txPr>
          <a:bodyPr/>
          <a:lstStyle/>
          <a:p>
            <a:pPr>
              <a:defRPr sz="900"/>
            </a:pPr>
            <a:endParaRPr lang="fr-FR"/>
          </a:p>
        </c:txPr>
        <c:crossAx val="337058048"/>
        <c:crosses val="autoZero"/>
        <c:crossBetween val="between"/>
      </c:valAx>
    </c:plotArea>
    <c:legend>
      <c:legendPos val="b"/>
      <c:layout>
        <c:manualLayout>
          <c:xMode val="edge"/>
          <c:yMode val="edge"/>
          <c:x val="0.24550003005349522"/>
          <c:y val="0.87153974073851459"/>
          <c:w val="0.58263451755348339"/>
          <c:h val="0.11137424615816155"/>
        </c:manualLayout>
      </c:layout>
      <c:overlay val="0"/>
    </c:legend>
    <c:plotVisOnly val="1"/>
    <c:dispBlanksAs val="gap"/>
    <c:showDLblsOverMax val="0"/>
  </c:chart>
  <c:spPr>
    <a:noFill/>
    <a:ln>
      <a:noFill/>
    </a:ln>
  </c:spPr>
  <c:txPr>
    <a:bodyPr/>
    <a:lstStyle/>
    <a:p>
      <a:pPr>
        <a:defRPr i="1"/>
      </a:pPr>
      <a:endParaRPr lang="fr-FR"/>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282095799469009E-2"/>
          <c:y val="4.1853493001192045E-2"/>
          <c:w val="0.91022555718021103"/>
          <c:h val="0.83054278660462255"/>
        </c:manualLayout>
      </c:layout>
      <c:barChart>
        <c:barDir val="col"/>
        <c:grouping val="stacked"/>
        <c:varyColors val="0"/>
        <c:ser>
          <c:idx val="0"/>
          <c:order val="0"/>
          <c:tx>
            <c:strRef>
              <c:f>'D_Ch2-2'!$N$28</c:f>
              <c:strCache>
                <c:ptCount val="1"/>
                <c:pt idx="0">
                  <c:v>CDI</c:v>
                </c:pt>
              </c:strCache>
            </c:strRef>
          </c:tx>
          <c:spPr>
            <a:solidFill>
              <a:schemeClr val="accent1">
                <a:lumMod val="75000"/>
              </a:schemeClr>
            </a:solidFill>
          </c:spPr>
          <c:invertIfNegative val="0"/>
          <c:cat>
            <c:strRef>
              <c:f>'D_Ch2-2'!$M$29:$M$34</c:f>
              <c:strCache>
                <c:ptCount val="6"/>
                <c:pt idx="0">
                  <c:v>3T 2016</c:v>
                </c:pt>
                <c:pt idx="1">
                  <c:v>4T 2016</c:v>
                </c:pt>
                <c:pt idx="2">
                  <c:v>1T 2017</c:v>
                </c:pt>
                <c:pt idx="3">
                  <c:v>2T 2017</c:v>
                </c:pt>
                <c:pt idx="4">
                  <c:v>3T 2017</c:v>
                </c:pt>
                <c:pt idx="5">
                  <c:v>4T 2017</c:v>
                </c:pt>
              </c:strCache>
            </c:strRef>
          </c:cat>
          <c:val>
            <c:numRef>
              <c:f>'D_Ch2-2'!$N$29:$N$34</c:f>
              <c:numCache>
                <c:formatCode>General</c:formatCode>
                <c:ptCount val="6"/>
                <c:pt idx="0">
                  <c:v>25798</c:v>
                </c:pt>
                <c:pt idx="1">
                  <c:v>23199</c:v>
                </c:pt>
                <c:pt idx="2">
                  <c:v>25917</c:v>
                </c:pt>
                <c:pt idx="3">
                  <c:v>24858</c:v>
                </c:pt>
                <c:pt idx="4">
                  <c:v>28897</c:v>
                </c:pt>
                <c:pt idx="5">
                  <c:v>27834</c:v>
                </c:pt>
              </c:numCache>
            </c:numRef>
          </c:val>
          <c:extLst>
            <c:ext xmlns:c16="http://schemas.microsoft.com/office/drawing/2014/chart" uri="{C3380CC4-5D6E-409C-BE32-E72D297353CC}">
              <c16:uniqueId val="{00000000-DCA7-4223-940B-68B48C4A234F}"/>
            </c:ext>
          </c:extLst>
        </c:ser>
        <c:ser>
          <c:idx val="1"/>
          <c:order val="1"/>
          <c:tx>
            <c:strRef>
              <c:f>'D_Ch2-2'!$O$28</c:f>
              <c:strCache>
                <c:ptCount val="1"/>
                <c:pt idx="0">
                  <c:v>CDD long (&gt;1 mois)</c:v>
                </c:pt>
              </c:strCache>
            </c:strRef>
          </c:tx>
          <c:spPr>
            <a:solidFill>
              <a:schemeClr val="accent4">
                <a:lumMod val="60000"/>
                <a:lumOff val="40000"/>
              </a:schemeClr>
            </a:solidFill>
          </c:spPr>
          <c:invertIfNegative val="0"/>
          <c:cat>
            <c:strRef>
              <c:f>'D_Ch2-2'!$M$29:$M$34</c:f>
              <c:strCache>
                <c:ptCount val="6"/>
                <c:pt idx="0">
                  <c:v>3T 2016</c:v>
                </c:pt>
                <c:pt idx="1">
                  <c:v>4T 2016</c:v>
                </c:pt>
                <c:pt idx="2">
                  <c:v>1T 2017</c:v>
                </c:pt>
                <c:pt idx="3">
                  <c:v>2T 2017</c:v>
                </c:pt>
                <c:pt idx="4">
                  <c:v>3T 2017</c:v>
                </c:pt>
                <c:pt idx="5">
                  <c:v>4T 2017</c:v>
                </c:pt>
              </c:strCache>
            </c:strRef>
          </c:cat>
          <c:val>
            <c:numRef>
              <c:f>'D_Ch2-2'!$O$29:$O$34</c:f>
              <c:numCache>
                <c:formatCode>General</c:formatCode>
                <c:ptCount val="6"/>
                <c:pt idx="0">
                  <c:v>37967</c:v>
                </c:pt>
                <c:pt idx="1">
                  <c:v>19135</c:v>
                </c:pt>
                <c:pt idx="2">
                  <c:v>20481</c:v>
                </c:pt>
                <c:pt idx="3">
                  <c:v>27893</c:v>
                </c:pt>
                <c:pt idx="4">
                  <c:v>39528</c:v>
                </c:pt>
                <c:pt idx="5">
                  <c:v>19745</c:v>
                </c:pt>
              </c:numCache>
            </c:numRef>
          </c:val>
          <c:extLst>
            <c:ext xmlns:c16="http://schemas.microsoft.com/office/drawing/2014/chart" uri="{C3380CC4-5D6E-409C-BE32-E72D297353CC}">
              <c16:uniqueId val="{00000001-DCA7-4223-940B-68B48C4A234F}"/>
            </c:ext>
          </c:extLst>
        </c:ser>
        <c:ser>
          <c:idx val="2"/>
          <c:order val="2"/>
          <c:tx>
            <c:strRef>
              <c:f>'D_Ch2-2'!$P$28</c:f>
              <c:strCache>
                <c:ptCount val="1"/>
                <c:pt idx="0">
                  <c:v>CDD court (&lt;1 mois)</c:v>
                </c:pt>
              </c:strCache>
            </c:strRef>
          </c:tx>
          <c:spPr>
            <a:solidFill>
              <a:schemeClr val="accent4">
                <a:lumMod val="20000"/>
                <a:lumOff val="80000"/>
              </a:schemeClr>
            </a:solidFill>
          </c:spPr>
          <c:invertIfNegative val="0"/>
          <c:cat>
            <c:strRef>
              <c:f>'D_Ch2-2'!$M$29:$M$34</c:f>
              <c:strCache>
                <c:ptCount val="6"/>
                <c:pt idx="0">
                  <c:v>3T 2016</c:v>
                </c:pt>
                <c:pt idx="1">
                  <c:v>4T 2016</c:v>
                </c:pt>
                <c:pt idx="2">
                  <c:v>1T 2017</c:v>
                </c:pt>
                <c:pt idx="3">
                  <c:v>2T 2017</c:v>
                </c:pt>
                <c:pt idx="4">
                  <c:v>3T 2017</c:v>
                </c:pt>
                <c:pt idx="5">
                  <c:v>4T 2017</c:v>
                </c:pt>
              </c:strCache>
            </c:strRef>
          </c:cat>
          <c:val>
            <c:numRef>
              <c:f>'D_Ch2-2'!$P$29:$P$34</c:f>
              <c:numCache>
                <c:formatCode>General</c:formatCode>
                <c:ptCount val="6"/>
                <c:pt idx="0">
                  <c:v>118295</c:v>
                </c:pt>
                <c:pt idx="1">
                  <c:v>114413</c:v>
                </c:pt>
                <c:pt idx="2">
                  <c:v>109643</c:v>
                </c:pt>
                <c:pt idx="3">
                  <c:v>125753</c:v>
                </c:pt>
                <c:pt idx="4">
                  <c:v>125268</c:v>
                </c:pt>
                <c:pt idx="5">
                  <c:v>120260</c:v>
                </c:pt>
              </c:numCache>
            </c:numRef>
          </c:val>
          <c:extLst>
            <c:ext xmlns:c16="http://schemas.microsoft.com/office/drawing/2014/chart" uri="{C3380CC4-5D6E-409C-BE32-E72D297353CC}">
              <c16:uniqueId val="{00000002-DCA7-4223-940B-68B48C4A234F}"/>
            </c:ext>
          </c:extLst>
        </c:ser>
        <c:dLbls>
          <c:showLegendKey val="0"/>
          <c:showVal val="0"/>
          <c:showCatName val="0"/>
          <c:showSerName val="0"/>
          <c:showPercent val="0"/>
          <c:showBubbleSize val="0"/>
        </c:dLbls>
        <c:gapWidth val="150"/>
        <c:overlap val="100"/>
        <c:axId val="337091200"/>
        <c:axId val="337092992"/>
      </c:barChart>
      <c:catAx>
        <c:axId val="337091200"/>
        <c:scaling>
          <c:orientation val="minMax"/>
        </c:scaling>
        <c:delete val="0"/>
        <c:axPos val="b"/>
        <c:numFmt formatCode="General" sourceLinked="0"/>
        <c:majorTickMark val="out"/>
        <c:minorTickMark val="none"/>
        <c:tickLblPos val="nextTo"/>
        <c:txPr>
          <a:bodyPr/>
          <a:lstStyle/>
          <a:p>
            <a:pPr>
              <a:defRPr sz="750" i="1"/>
            </a:pPr>
            <a:endParaRPr lang="fr-FR"/>
          </a:p>
        </c:txPr>
        <c:crossAx val="337092992"/>
        <c:crosses val="autoZero"/>
        <c:auto val="1"/>
        <c:lblAlgn val="ctr"/>
        <c:lblOffset val="100"/>
        <c:noMultiLvlLbl val="0"/>
      </c:catAx>
      <c:valAx>
        <c:axId val="337092992"/>
        <c:scaling>
          <c:orientation val="minMax"/>
          <c:max val="600000"/>
        </c:scaling>
        <c:delete val="0"/>
        <c:axPos val="l"/>
        <c:majorGridlines/>
        <c:numFmt formatCode="General" sourceLinked="1"/>
        <c:majorTickMark val="none"/>
        <c:minorTickMark val="none"/>
        <c:tickLblPos val="none"/>
        <c:crossAx val="337091200"/>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850512745059938E-2"/>
          <c:y val="4.1297915918558095E-2"/>
          <c:w val="0.9230768842503958"/>
          <c:h val="0.82689251532180563"/>
        </c:manualLayout>
      </c:layout>
      <c:barChart>
        <c:barDir val="col"/>
        <c:grouping val="stacked"/>
        <c:varyColors val="0"/>
        <c:ser>
          <c:idx val="0"/>
          <c:order val="0"/>
          <c:tx>
            <c:strRef>
              <c:f>'D_Ch2-2'!$T$28</c:f>
              <c:strCache>
                <c:ptCount val="1"/>
                <c:pt idx="0">
                  <c:v>CDI</c:v>
                </c:pt>
              </c:strCache>
            </c:strRef>
          </c:tx>
          <c:spPr>
            <a:solidFill>
              <a:schemeClr val="accent1">
                <a:lumMod val="75000"/>
              </a:schemeClr>
            </a:solidFill>
          </c:spPr>
          <c:invertIfNegative val="0"/>
          <c:cat>
            <c:strRef>
              <c:f>'D_Ch2-2'!$S$29:$S$34</c:f>
              <c:strCache>
                <c:ptCount val="6"/>
                <c:pt idx="0">
                  <c:v>3T 2016</c:v>
                </c:pt>
                <c:pt idx="1">
                  <c:v>4T 2016</c:v>
                </c:pt>
                <c:pt idx="2">
                  <c:v>1T 2017</c:v>
                </c:pt>
                <c:pt idx="3">
                  <c:v>2T 2017</c:v>
                </c:pt>
                <c:pt idx="4">
                  <c:v>3T 2017</c:v>
                </c:pt>
                <c:pt idx="5">
                  <c:v>4T 2017</c:v>
                </c:pt>
              </c:strCache>
            </c:strRef>
          </c:cat>
          <c:val>
            <c:numRef>
              <c:f>'D_Ch2-2'!$T$29:$T$34</c:f>
              <c:numCache>
                <c:formatCode>General</c:formatCode>
                <c:ptCount val="6"/>
                <c:pt idx="0">
                  <c:v>17719</c:v>
                </c:pt>
                <c:pt idx="1">
                  <c:v>16184</c:v>
                </c:pt>
                <c:pt idx="2">
                  <c:v>17522</c:v>
                </c:pt>
                <c:pt idx="3">
                  <c:v>16696</c:v>
                </c:pt>
                <c:pt idx="4">
                  <c:v>19869</c:v>
                </c:pt>
                <c:pt idx="5">
                  <c:v>19249</c:v>
                </c:pt>
              </c:numCache>
            </c:numRef>
          </c:val>
          <c:extLst>
            <c:ext xmlns:c16="http://schemas.microsoft.com/office/drawing/2014/chart" uri="{C3380CC4-5D6E-409C-BE32-E72D297353CC}">
              <c16:uniqueId val="{00000000-A85D-4363-8B0C-4C58AB5F6387}"/>
            </c:ext>
          </c:extLst>
        </c:ser>
        <c:ser>
          <c:idx val="1"/>
          <c:order val="1"/>
          <c:tx>
            <c:strRef>
              <c:f>'D_Ch2-2'!$U$28</c:f>
              <c:strCache>
                <c:ptCount val="1"/>
                <c:pt idx="0">
                  <c:v>CDD long (&gt;1 mois)</c:v>
                </c:pt>
              </c:strCache>
            </c:strRef>
          </c:tx>
          <c:spPr>
            <a:solidFill>
              <a:schemeClr val="accent4">
                <a:lumMod val="60000"/>
                <a:lumOff val="40000"/>
              </a:schemeClr>
            </a:solidFill>
          </c:spPr>
          <c:invertIfNegative val="0"/>
          <c:cat>
            <c:strRef>
              <c:f>'D_Ch2-2'!$S$29:$S$34</c:f>
              <c:strCache>
                <c:ptCount val="6"/>
                <c:pt idx="0">
                  <c:v>3T 2016</c:v>
                </c:pt>
                <c:pt idx="1">
                  <c:v>4T 2016</c:v>
                </c:pt>
                <c:pt idx="2">
                  <c:v>1T 2017</c:v>
                </c:pt>
                <c:pt idx="3">
                  <c:v>2T 2017</c:v>
                </c:pt>
                <c:pt idx="4">
                  <c:v>3T 2017</c:v>
                </c:pt>
                <c:pt idx="5">
                  <c:v>4T 2017</c:v>
                </c:pt>
              </c:strCache>
            </c:strRef>
          </c:cat>
          <c:val>
            <c:numRef>
              <c:f>'D_Ch2-2'!$U$29:$U$34</c:f>
              <c:numCache>
                <c:formatCode>General</c:formatCode>
                <c:ptCount val="6"/>
                <c:pt idx="0">
                  <c:v>20630</c:v>
                </c:pt>
                <c:pt idx="1">
                  <c:v>12886</c:v>
                </c:pt>
                <c:pt idx="2">
                  <c:v>12631</c:v>
                </c:pt>
                <c:pt idx="3">
                  <c:v>14043</c:v>
                </c:pt>
                <c:pt idx="4">
                  <c:v>21702</c:v>
                </c:pt>
                <c:pt idx="5">
                  <c:v>13161</c:v>
                </c:pt>
              </c:numCache>
            </c:numRef>
          </c:val>
          <c:extLst>
            <c:ext xmlns:c16="http://schemas.microsoft.com/office/drawing/2014/chart" uri="{C3380CC4-5D6E-409C-BE32-E72D297353CC}">
              <c16:uniqueId val="{00000001-A85D-4363-8B0C-4C58AB5F6387}"/>
            </c:ext>
          </c:extLst>
        </c:ser>
        <c:ser>
          <c:idx val="2"/>
          <c:order val="2"/>
          <c:tx>
            <c:strRef>
              <c:f>'D_Ch2-2'!$V$28</c:f>
              <c:strCache>
                <c:ptCount val="1"/>
                <c:pt idx="0">
                  <c:v>CDD court (&lt;1 mois)</c:v>
                </c:pt>
              </c:strCache>
            </c:strRef>
          </c:tx>
          <c:spPr>
            <a:solidFill>
              <a:schemeClr val="accent4">
                <a:lumMod val="20000"/>
                <a:lumOff val="80000"/>
              </a:schemeClr>
            </a:solidFill>
          </c:spPr>
          <c:invertIfNegative val="0"/>
          <c:cat>
            <c:strRef>
              <c:f>'D_Ch2-2'!$S$29:$S$34</c:f>
              <c:strCache>
                <c:ptCount val="6"/>
                <c:pt idx="0">
                  <c:v>3T 2016</c:v>
                </c:pt>
                <c:pt idx="1">
                  <c:v>4T 2016</c:v>
                </c:pt>
                <c:pt idx="2">
                  <c:v>1T 2017</c:v>
                </c:pt>
                <c:pt idx="3">
                  <c:v>2T 2017</c:v>
                </c:pt>
                <c:pt idx="4">
                  <c:v>3T 2017</c:v>
                </c:pt>
                <c:pt idx="5">
                  <c:v>4T 2017</c:v>
                </c:pt>
              </c:strCache>
            </c:strRef>
          </c:cat>
          <c:val>
            <c:numRef>
              <c:f>'D_Ch2-2'!$V$29:$V$34</c:f>
              <c:numCache>
                <c:formatCode>General</c:formatCode>
                <c:ptCount val="6"/>
                <c:pt idx="0">
                  <c:v>72985</c:v>
                </c:pt>
                <c:pt idx="1">
                  <c:v>76663</c:v>
                </c:pt>
                <c:pt idx="2">
                  <c:v>76063</c:v>
                </c:pt>
                <c:pt idx="3">
                  <c:v>81991</c:v>
                </c:pt>
                <c:pt idx="4">
                  <c:v>78589</c:v>
                </c:pt>
                <c:pt idx="5">
                  <c:v>80883</c:v>
                </c:pt>
              </c:numCache>
            </c:numRef>
          </c:val>
          <c:extLst>
            <c:ext xmlns:c16="http://schemas.microsoft.com/office/drawing/2014/chart" uri="{C3380CC4-5D6E-409C-BE32-E72D297353CC}">
              <c16:uniqueId val="{00000002-A85D-4363-8B0C-4C58AB5F6387}"/>
            </c:ext>
          </c:extLst>
        </c:ser>
        <c:dLbls>
          <c:showLegendKey val="0"/>
          <c:showVal val="0"/>
          <c:showCatName val="0"/>
          <c:showSerName val="0"/>
          <c:showPercent val="0"/>
          <c:showBubbleSize val="0"/>
        </c:dLbls>
        <c:gapWidth val="150"/>
        <c:overlap val="100"/>
        <c:axId val="338774656"/>
        <c:axId val="338780544"/>
      </c:barChart>
      <c:catAx>
        <c:axId val="338774656"/>
        <c:scaling>
          <c:orientation val="minMax"/>
        </c:scaling>
        <c:delete val="0"/>
        <c:axPos val="b"/>
        <c:numFmt formatCode="General" sourceLinked="0"/>
        <c:majorTickMark val="out"/>
        <c:minorTickMark val="none"/>
        <c:tickLblPos val="nextTo"/>
        <c:txPr>
          <a:bodyPr rot="0" vert="horz" anchor="t" anchorCtr="1"/>
          <a:lstStyle/>
          <a:p>
            <a:pPr>
              <a:defRPr sz="750" i="1"/>
            </a:pPr>
            <a:endParaRPr lang="fr-FR"/>
          </a:p>
        </c:txPr>
        <c:crossAx val="338780544"/>
        <c:crosses val="autoZero"/>
        <c:auto val="1"/>
        <c:lblAlgn val="ctr"/>
        <c:lblOffset val="100"/>
        <c:noMultiLvlLbl val="0"/>
      </c:catAx>
      <c:valAx>
        <c:axId val="338780544"/>
        <c:scaling>
          <c:orientation val="minMax"/>
          <c:max val="600000"/>
        </c:scaling>
        <c:delete val="0"/>
        <c:axPos val="l"/>
        <c:majorGridlines/>
        <c:numFmt formatCode="General" sourceLinked="1"/>
        <c:majorTickMark val="none"/>
        <c:minorTickMark val="none"/>
        <c:tickLblPos val="none"/>
        <c:crossAx val="338774656"/>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550789194524148E-2"/>
          <c:y val="4.398663262635126E-2"/>
          <c:w val="0.9435732676327081"/>
          <c:h val="0.83261982505510035"/>
        </c:manualLayout>
      </c:layout>
      <c:lineChart>
        <c:grouping val="standard"/>
        <c:varyColors val="0"/>
        <c:ser>
          <c:idx val="0"/>
          <c:order val="0"/>
          <c:tx>
            <c:strRef>
              <c:f>'Emploi-old'!$I$8</c:f>
              <c:strCache>
                <c:ptCount val="1"/>
                <c:pt idx="0">
                  <c:v>Bx Métropole</c:v>
                </c:pt>
              </c:strCache>
            </c:strRef>
          </c:tx>
          <c:spPr>
            <a:ln>
              <a:solidFill>
                <a:schemeClr val="accent3">
                  <a:lumMod val="75000"/>
                </a:schemeClr>
              </a:solidFill>
            </a:ln>
          </c:spPr>
          <c:marker>
            <c:symbol val="none"/>
          </c:marker>
          <c:cat>
            <c:numRef>
              <c:f>'Emploi-old'!$A$52:$H$52</c:f>
              <c:numCache>
                <c:formatCode>General</c:formatCode>
                <c:ptCount val="8"/>
                <c:pt idx="0">
                  <c:v>2008</c:v>
                </c:pt>
                <c:pt idx="1">
                  <c:v>2009</c:v>
                </c:pt>
                <c:pt idx="2">
                  <c:v>2010</c:v>
                </c:pt>
                <c:pt idx="3">
                  <c:v>2011</c:v>
                </c:pt>
                <c:pt idx="4">
                  <c:v>2012</c:v>
                </c:pt>
                <c:pt idx="5">
                  <c:v>2013</c:v>
                </c:pt>
                <c:pt idx="6">
                  <c:v>2014</c:v>
                </c:pt>
                <c:pt idx="7">
                  <c:v>2015</c:v>
                </c:pt>
              </c:numCache>
            </c:numRef>
          </c:cat>
          <c:val>
            <c:numRef>
              <c:f>'Emploi-old'!$A$50:$H$50</c:f>
              <c:numCache>
                <c:formatCode>#\ ##0.0</c:formatCode>
                <c:ptCount val="8"/>
                <c:pt idx="0" formatCode="#,##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00-4DB6-4DC1-8421-49B8409541A2}"/>
            </c:ext>
          </c:extLst>
        </c:ser>
        <c:ser>
          <c:idx val="1"/>
          <c:order val="1"/>
          <c:tx>
            <c:strRef>
              <c:f>'Emploi-old'!$O$8</c:f>
              <c:strCache>
                <c:ptCount val="1"/>
                <c:pt idx="0">
                  <c:v>Isère</c:v>
                </c:pt>
              </c:strCache>
            </c:strRef>
          </c:tx>
          <c:spPr>
            <a:ln>
              <a:solidFill>
                <a:schemeClr val="tx2">
                  <a:lumMod val="60000"/>
                  <a:lumOff val="40000"/>
                </a:schemeClr>
              </a:solidFill>
            </a:ln>
          </c:spPr>
          <c:marker>
            <c:symbol val="none"/>
          </c:marker>
          <c:cat>
            <c:numRef>
              <c:f>'Emploi-old'!$A$52:$H$52</c:f>
              <c:numCache>
                <c:formatCode>General</c:formatCode>
                <c:ptCount val="8"/>
                <c:pt idx="0">
                  <c:v>2008</c:v>
                </c:pt>
                <c:pt idx="1">
                  <c:v>2009</c:v>
                </c:pt>
                <c:pt idx="2">
                  <c:v>2010</c:v>
                </c:pt>
                <c:pt idx="3">
                  <c:v>2011</c:v>
                </c:pt>
                <c:pt idx="4">
                  <c:v>2012</c:v>
                </c:pt>
                <c:pt idx="5">
                  <c:v>2013</c:v>
                </c:pt>
                <c:pt idx="6">
                  <c:v>2014</c:v>
                </c:pt>
                <c:pt idx="7">
                  <c:v>2015</c:v>
                </c:pt>
              </c:numCache>
            </c:numRef>
          </c:cat>
          <c:val>
            <c:numRef>
              <c:f>'Emploi-old'!$A$51:$H$51</c:f>
              <c:numCache>
                <c:formatCode>#\ ##0.0</c:formatCode>
                <c:ptCount val="8"/>
                <c:pt idx="0" formatCode="#,##0">
                  <c:v>100</c:v>
                </c:pt>
                <c:pt idx="1">
                  <c:v>101.34707728544805</c:v>
                </c:pt>
                <c:pt idx="2">
                  <c:v>101.92652084964821</c:v>
                </c:pt>
                <c:pt idx="3">
                  <c:v>101.20896999277593</c:v>
                </c:pt>
                <c:pt idx="4">
                  <c:v>101.83090810856751</c:v>
                </c:pt>
                <c:pt idx="5">
                  <c:v>101.53010738980252</c:v>
                </c:pt>
                <c:pt idx="6">
                  <c:v>101.77596872401003</c:v>
                </c:pt>
                <c:pt idx="7">
                  <c:v>103.10453052626467</c:v>
                </c:pt>
              </c:numCache>
            </c:numRef>
          </c:val>
          <c:smooth val="0"/>
          <c:extLst>
            <c:ext xmlns:c16="http://schemas.microsoft.com/office/drawing/2014/chart" uri="{C3380CC4-5D6E-409C-BE32-E72D297353CC}">
              <c16:uniqueId val="{00000001-4DB6-4DC1-8421-49B8409541A2}"/>
            </c:ext>
          </c:extLst>
        </c:ser>
        <c:dLbls>
          <c:showLegendKey val="0"/>
          <c:showVal val="0"/>
          <c:showCatName val="0"/>
          <c:showSerName val="0"/>
          <c:showPercent val="0"/>
          <c:showBubbleSize val="0"/>
        </c:dLbls>
        <c:smooth val="0"/>
        <c:axId val="308184576"/>
        <c:axId val="308186112"/>
      </c:lineChart>
      <c:catAx>
        <c:axId val="308184576"/>
        <c:scaling>
          <c:orientation val="minMax"/>
        </c:scaling>
        <c:delete val="0"/>
        <c:axPos val="b"/>
        <c:numFmt formatCode="General" sourceLinked="1"/>
        <c:majorTickMark val="out"/>
        <c:minorTickMark val="none"/>
        <c:tickLblPos val="nextTo"/>
        <c:txPr>
          <a:bodyPr/>
          <a:lstStyle/>
          <a:p>
            <a:pPr>
              <a:defRPr sz="800"/>
            </a:pPr>
            <a:endParaRPr lang="fr-FR"/>
          </a:p>
        </c:txPr>
        <c:crossAx val="308186112"/>
        <c:crosses val="autoZero"/>
        <c:auto val="1"/>
        <c:lblAlgn val="ctr"/>
        <c:lblOffset val="100"/>
        <c:noMultiLvlLbl val="0"/>
      </c:catAx>
      <c:valAx>
        <c:axId val="308186112"/>
        <c:scaling>
          <c:orientation val="minMax"/>
          <c:max val="110"/>
          <c:min val="90"/>
        </c:scaling>
        <c:delete val="0"/>
        <c:axPos val="l"/>
        <c:majorGridlines/>
        <c:numFmt formatCode="#,##0" sourceLinked="1"/>
        <c:majorTickMark val="out"/>
        <c:minorTickMark val="none"/>
        <c:tickLblPos val="nextTo"/>
        <c:txPr>
          <a:bodyPr/>
          <a:lstStyle/>
          <a:p>
            <a:pPr>
              <a:defRPr sz="800"/>
            </a:pPr>
            <a:endParaRPr lang="fr-FR"/>
          </a:p>
        </c:txPr>
        <c:crossAx val="308184576"/>
        <c:crosses val="autoZero"/>
        <c:crossBetween val="midCat"/>
      </c:valAx>
    </c:plotArea>
    <c:legend>
      <c:legendPos val="r"/>
      <c:layout>
        <c:manualLayout>
          <c:xMode val="edge"/>
          <c:yMode val="edge"/>
          <c:x val="3.980340254770217E-2"/>
          <c:y val="0.57961352657004828"/>
          <c:w val="0.36259601134891595"/>
          <c:h val="0.30714077937710016"/>
        </c:manualLayout>
      </c:layout>
      <c:overlay val="0"/>
      <c:txPr>
        <a:bodyPr/>
        <a:lstStyle/>
        <a:p>
          <a:pPr>
            <a:defRPr sz="900"/>
          </a:pPr>
          <a:endParaRPr lang="fr-FR"/>
        </a:p>
      </c:txPr>
    </c:legend>
    <c:plotVisOnly val="1"/>
    <c:dispBlanksAs val="gap"/>
    <c:showDLblsOverMax val="0"/>
  </c:chart>
  <c:spPr>
    <a:noFill/>
    <a:ln>
      <a:noFill/>
    </a:ln>
  </c:spPr>
  <c:printSettings>
    <c:headerFooter/>
    <c:pageMargins b="0.15748031496062992" l="0.70866141732283472" r="0.70866141732283472" t="0.47244094488188981" header="0.31496062992125984" footer="0.31496062992125984"/>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Pt>
            <c:idx val="0"/>
            <c:invertIfNegative val="0"/>
            <c:bubble3D val="0"/>
            <c:spPr>
              <a:solidFill>
                <a:schemeClr val="accent1"/>
              </a:solidFill>
            </c:spPr>
            <c:extLst>
              <c:ext xmlns:c16="http://schemas.microsoft.com/office/drawing/2014/chart" uri="{C3380CC4-5D6E-409C-BE32-E72D297353CC}">
                <c16:uniqueId val="{00000001-6914-4805-A3E7-BEC30B413A4E}"/>
              </c:ext>
            </c:extLst>
          </c:dPt>
          <c:dPt>
            <c:idx val="1"/>
            <c:invertIfNegative val="0"/>
            <c:bubble3D val="0"/>
            <c:spPr>
              <a:solidFill>
                <a:srgbClr val="FF0000"/>
              </a:solidFill>
            </c:spPr>
            <c:extLst>
              <c:ext xmlns:c16="http://schemas.microsoft.com/office/drawing/2014/chart" uri="{C3380CC4-5D6E-409C-BE32-E72D297353CC}">
                <c16:uniqueId val="{00000003-6914-4805-A3E7-BEC30B413A4E}"/>
              </c:ext>
            </c:extLst>
          </c:dPt>
          <c:dPt>
            <c:idx val="7"/>
            <c:invertIfNegative val="0"/>
            <c:bubble3D val="0"/>
            <c:spPr>
              <a:solidFill>
                <a:srgbClr val="C00000"/>
              </a:solidFill>
            </c:spPr>
            <c:extLst>
              <c:ext xmlns:c16="http://schemas.microsoft.com/office/drawing/2014/chart" uri="{C3380CC4-5D6E-409C-BE32-E72D297353CC}">
                <c16:uniqueId val="{00000005-6914-4805-A3E7-BEC30B413A4E}"/>
              </c:ext>
            </c:extLst>
          </c:dPt>
          <c:dPt>
            <c:idx val="8"/>
            <c:invertIfNegative val="0"/>
            <c:bubble3D val="0"/>
            <c:spPr>
              <a:solidFill>
                <a:srgbClr val="92D050"/>
              </a:solidFill>
            </c:spPr>
            <c:extLst>
              <c:ext xmlns:c16="http://schemas.microsoft.com/office/drawing/2014/chart" uri="{C3380CC4-5D6E-409C-BE32-E72D297353CC}">
                <c16:uniqueId val="{00000007-6914-4805-A3E7-BEC30B413A4E}"/>
              </c:ext>
            </c:extLst>
          </c:dPt>
          <c:dPt>
            <c:idx val="11"/>
            <c:invertIfNegative val="0"/>
            <c:bubble3D val="0"/>
            <c:spPr>
              <a:solidFill>
                <a:srgbClr val="FFC000"/>
              </a:solidFill>
            </c:spPr>
            <c:extLst>
              <c:ext xmlns:c16="http://schemas.microsoft.com/office/drawing/2014/chart" uri="{C3380CC4-5D6E-409C-BE32-E72D297353CC}">
                <c16:uniqueId val="{00000009-6914-4805-A3E7-BEC30B413A4E}"/>
              </c:ext>
            </c:extLst>
          </c:dPt>
          <c:dPt>
            <c:idx val="13"/>
            <c:invertIfNegative val="0"/>
            <c:bubble3D val="0"/>
            <c:spPr>
              <a:solidFill>
                <a:srgbClr val="FF99FF"/>
              </a:solidFill>
            </c:spPr>
            <c:extLst>
              <c:ext xmlns:c16="http://schemas.microsoft.com/office/drawing/2014/chart" uri="{C3380CC4-5D6E-409C-BE32-E72D297353CC}">
                <c16:uniqueId val="{0000000B-6914-4805-A3E7-BEC30B413A4E}"/>
              </c:ext>
            </c:extLst>
          </c:dPt>
          <c:cat>
            <c:strRef>
              <c:f>'D_Ch2-2'!$N$41:$AA$41</c:f>
              <c:strCache>
                <c:ptCount val="14"/>
                <c:pt idx="0">
                  <c:v>a</c:v>
                </c:pt>
                <c:pt idx="1">
                  <c:v>b</c:v>
                </c:pt>
                <c:pt idx="2">
                  <c:v>c</c:v>
                </c:pt>
                <c:pt idx="3">
                  <c:v>d</c:v>
                </c:pt>
                <c:pt idx="4">
                  <c:v>e</c:v>
                </c:pt>
                <c:pt idx="5">
                  <c:v>f</c:v>
                </c:pt>
                <c:pt idx="6">
                  <c:v>g</c:v>
                </c:pt>
                <c:pt idx="7">
                  <c:v>h</c:v>
                </c:pt>
                <c:pt idx="8">
                  <c:v>i</c:v>
                </c:pt>
                <c:pt idx="9">
                  <c:v>j</c:v>
                </c:pt>
                <c:pt idx="10">
                  <c:v>k</c:v>
                </c:pt>
                <c:pt idx="11">
                  <c:v>l</c:v>
                </c:pt>
                <c:pt idx="12">
                  <c:v>m</c:v>
                </c:pt>
                <c:pt idx="13">
                  <c:v>n</c:v>
                </c:pt>
              </c:strCache>
            </c:strRef>
          </c:cat>
          <c:val>
            <c:numRef>
              <c:f>'D_Ch2-2'!$N$55:$AA$55</c:f>
              <c:numCache>
                <c:formatCode>@</c:formatCode>
                <c:ptCount val="14"/>
                <c:pt idx="0">
                  <c:v>1637</c:v>
                </c:pt>
                <c:pt idx="1">
                  <c:v>514</c:v>
                </c:pt>
                <c:pt idx="2">
                  <c:v>1035</c:v>
                </c:pt>
                <c:pt idx="3">
                  <c:v>7876</c:v>
                </c:pt>
                <c:pt idx="4">
                  <c:v>1684</c:v>
                </c:pt>
                <c:pt idx="5">
                  <c:v>4206</c:v>
                </c:pt>
                <c:pt idx="6">
                  <c:v>4823</c:v>
                </c:pt>
                <c:pt idx="7">
                  <c:v>2164</c:v>
                </c:pt>
                <c:pt idx="8">
                  <c:v>1532</c:v>
                </c:pt>
                <c:pt idx="9">
                  <c:v>1730</c:v>
                </c:pt>
                <c:pt idx="10">
                  <c:v>9828</c:v>
                </c:pt>
                <c:pt idx="11">
                  <c:v>1006</c:v>
                </c:pt>
                <c:pt idx="12">
                  <c:v>7427</c:v>
                </c:pt>
                <c:pt idx="13">
                  <c:v>3920</c:v>
                </c:pt>
              </c:numCache>
            </c:numRef>
          </c:val>
          <c:extLst>
            <c:ext xmlns:c16="http://schemas.microsoft.com/office/drawing/2014/chart" uri="{C3380CC4-5D6E-409C-BE32-E72D297353CC}">
              <c16:uniqueId val="{0000000C-6914-4805-A3E7-BEC30B413A4E}"/>
            </c:ext>
          </c:extLst>
        </c:ser>
        <c:dLbls>
          <c:showLegendKey val="0"/>
          <c:showVal val="0"/>
          <c:showCatName val="0"/>
          <c:showSerName val="0"/>
          <c:showPercent val="0"/>
          <c:showBubbleSize val="0"/>
        </c:dLbls>
        <c:gapWidth val="150"/>
        <c:axId val="338818176"/>
        <c:axId val="338819712"/>
      </c:barChart>
      <c:catAx>
        <c:axId val="338818176"/>
        <c:scaling>
          <c:orientation val="minMax"/>
        </c:scaling>
        <c:delete val="0"/>
        <c:axPos val="b"/>
        <c:numFmt formatCode="General" sourceLinked="1"/>
        <c:majorTickMark val="out"/>
        <c:minorTickMark val="none"/>
        <c:tickLblPos val="nextTo"/>
        <c:crossAx val="338819712"/>
        <c:crosses val="autoZero"/>
        <c:auto val="1"/>
        <c:lblAlgn val="ctr"/>
        <c:lblOffset val="100"/>
        <c:noMultiLvlLbl val="0"/>
      </c:catAx>
      <c:valAx>
        <c:axId val="338819712"/>
        <c:scaling>
          <c:orientation val="minMax"/>
          <c:max val="10000"/>
        </c:scaling>
        <c:delete val="0"/>
        <c:axPos val="l"/>
        <c:majorGridlines/>
        <c:numFmt formatCode="#,##0" sourceLinked="0"/>
        <c:majorTickMark val="out"/>
        <c:minorTickMark val="none"/>
        <c:tickLblPos val="nextTo"/>
        <c:txPr>
          <a:bodyPr/>
          <a:lstStyle/>
          <a:p>
            <a:pPr>
              <a:defRPr sz="800"/>
            </a:pPr>
            <a:endParaRPr lang="fr-FR"/>
          </a:p>
        </c:txPr>
        <c:crossAx val="338818176"/>
        <c:crosses val="autoZero"/>
        <c:crossBetween val="between"/>
        <c:majorUnit val="2000"/>
      </c:valAx>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890192987246646E-2"/>
          <c:y val="0.25377098737332443"/>
          <c:w val="0.92750941093849004"/>
          <c:h val="0.62860861113368105"/>
        </c:manualLayout>
      </c:layout>
      <c:lineChart>
        <c:grouping val="standard"/>
        <c:varyColors val="0"/>
        <c:ser>
          <c:idx val="2"/>
          <c:order val="0"/>
          <c:tx>
            <c:strRef>
              <c:f>'G_Ch2-2'!$A$9</c:f>
              <c:strCache>
                <c:ptCount val="1"/>
                <c:pt idx="0">
                  <c:v>ZE Lille</c:v>
                </c:pt>
              </c:strCache>
            </c:strRef>
          </c:tx>
          <c:marker>
            <c:symbol val="none"/>
          </c:marker>
          <c:cat>
            <c:strRef>
              <c:f>'G_Ch2-2'!$AF$8:$AJ$8</c:f>
              <c:strCache>
                <c:ptCount val="5"/>
                <c:pt idx="0">
                  <c:v>16-T4</c:v>
                </c:pt>
                <c:pt idx="1">
                  <c:v>17-T1</c:v>
                </c:pt>
                <c:pt idx="2">
                  <c:v>17-T2</c:v>
                </c:pt>
                <c:pt idx="3">
                  <c:v>17-T3</c:v>
                </c:pt>
                <c:pt idx="4">
                  <c:v>17-T4</c:v>
                </c:pt>
              </c:strCache>
            </c:strRef>
          </c:cat>
          <c:val>
            <c:numRef>
              <c:f>'G_Ch2-2'!$AF$9:$AJ$9</c:f>
              <c:numCache>
                <c:formatCode>General</c:formatCode>
                <c:ptCount val="5"/>
                <c:pt idx="0">
                  <c:v>10.5</c:v>
                </c:pt>
                <c:pt idx="1">
                  <c:v>10.199999999999999</c:v>
                </c:pt>
                <c:pt idx="2">
                  <c:v>10.1</c:v>
                </c:pt>
                <c:pt idx="3">
                  <c:v>10.4</c:v>
                </c:pt>
                <c:pt idx="4">
                  <c:v>9.5</c:v>
                </c:pt>
              </c:numCache>
            </c:numRef>
          </c:val>
          <c:smooth val="0"/>
          <c:extLst>
            <c:ext xmlns:c16="http://schemas.microsoft.com/office/drawing/2014/chart" uri="{C3380CC4-5D6E-409C-BE32-E72D297353CC}">
              <c16:uniqueId val="{00000000-23E4-43AF-8711-C83AF2C2D13F}"/>
            </c:ext>
          </c:extLst>
        </c:ser>
        <c:ser>
          <c:idx val="3"/>
          <c:order val="1"/>
          <c:tx>
            <c:strRef>
              <c:f>'G_Ch2-2'!$A$10</c:f>
              <c:strCache>
                <c:ptCount val="1"/>
                <c:pt idx="0">
                  <c:v>ZE Nantes</c:v>
                </c:pt>
              </c:strCache>
            </c:strRef>
          </c:tx>
          <c:marker>
            <c:symbol val="none"/>
          </c:marker>
          <c:cat>
            <c:strRef>
              <c:f>'G_Ch2-2'!$AF$8:$AJ$8</c:f>
              <c:strCache>
                <c:ptCount val="5"/>
                <c:pt idx="0">
                  <c:v>16-T4</c:v>
                </c:pt>
                <c:pt idx="1">
                  <c:v>17-T1</c:v>
                </c:pt>
                <c:pt idx="2">
                  <c:v>17-T2</c:v>
                </c:pt>
                <c:pt idx="3">
                  <c:v>17-T3</c:v>
                </c:pt>
                <c:pt idx="4">
                  <c:v>17-T4</c:v>
                </c:pt>
              </c:strCache>
            </c:strRef>
          </c:cat>
          <c:val>
            <c:numRef>
              <c:f>'G_Ch2-2'!$AF$10:$AJ$10</c:f>
              <c:numCache>
                <c:formatCode>General</c:formatCode>
                <c:ptCount val="5"/>
                <c:pt idx="0">
                  <c:v>7.8</c:v>
                </c:pt>
                <c:pt idx="1">
                  <c:v>7.5</c:v>
                </c:pt>
                <c:pt idx="2">
                  <c:v>7.3</c:v>
                </c:pt>
                <c:pt idx="3">
                  <c:v>7.5</c:v>
                </c:pt>
                <c:pt idx="4">
                  <c:v>6.8</c:v>
                </c:pt>
              </c:numCache>
            </c:numRef>
          </c:val>
          <c:smooth val="0"/>
          <c:extLst>
            <c:ext xmlns:c16="http://schemas.microsoft.com/office/drawing/2014/chart" uri="{C3380CC4-5D6E-409C-BE32-E72D297353CC}">
              <c16:uniqueId val="{00000001-23E4-43AF-8711-C83AF2C2D13F}"/>
            </c:ext>
          </c:extLst>
        </c:ser>
        <c:ser>
          <c:idx val="4"/>
          <c:order val="2"/>
          <c:tx>
            <c:strRef>
              <c:f>'G_Ch2-2'!$A$11</c:f>
              <c:strCache>
                <c:ptCount val="1"/>
                <c:pt idx="0">
                  <c:v>France métro.</c:v>
                </c:pt>
              </c:strCache>
            </c:strRef>
          </c:tx>
          <c:spPr>
            <a:ln w="19050">
              <a:solidFill>
                <a:schemeClr val="tx1"/>
              </a:solidFill>
              <a:prstDash val="dash"/>
            </a:ln>
          </c:spPr>
          <c:marker>
            <c:symbol val="none"/>
          </c:marker>
          <c:cat>
            <c:strRef>
              <c:f>'G_Ch2-2'!$AF$8:$AJ$8</c:f>
              <c:strCache>
                <c:ptCount val="5"/>
                <c:pt idx="0">
                  <c:v>16-T4</c:v>
                </c:pt>
                <c:pt idx="1">
                  <c:v>17-T1</c:v>
                </c:pt>
                <c:pt idx="2">
                  <c:v>17-T2</c:v>
                </c:pt>
                <c:pt idx="3">
                  <c:v>17-T3</c:v>
                </c:pt>
                <c:pt idx="4">
                  <c:v>17-T4</c:v>
                </c:pt>
              </c:strCache>
            </c:strRef>
          </c:cat>
          <c:val>
            <c:numRef>
              <c:f>'G_Ch2-2'!$AF$11:$AJ$11</c:f>
              <c:numCache>
                <c:formatCode>General</c:formatCode>
                <c:ptCount val="5"/>
                <c:pt idx="0">
                  <c:v>9.6999999999999993</c:v>
                </c:pt>
                <c:pt idx="1">
                  <c:v>9.3000000000000007</c:v>
                </c:pt>
                <c:pt idx="2">
                  <c:v>9.1999999999999993</c:v>
                </c:pt>
                <c:pt idx="3">
                  <c:v>9.3000000000000007</c:v>
                </c:pt>
                <c:pt idx="4">
                  <c:v>8.6</c:v>
                </c:pt>
              </c:numCache>
            </c:numRef>
          </c:val>
          <c:smooth val="0"/>
          <c:extLst>
            <c:ext xmlns:c16="http://schemas.microsoft.com/office/drawing/2014/chart" uri="{C3380CC4-5D6E-409C-BE32-E72D297353CC}">
              <c16:uniqueId val="{00000002-23E4-43AF-8711-C83AF2C2D13F}"/>
            </c:ext>
          </c:extLst>
        </c:ser>
        <c:ser>
          <c:idx val="5"/>
          <c:order val="3"/>
          <c:tx>
            <c:strRef>
              <c:f>'G_Ch2-2'!$A$12</c:f>
              <c:strCache>
                <c:ptCount val="1"/>
                <c:pt idx="0">
                  <c:v>ZE Bordeaux</c:v>
                </c:pt>
              </c:strCache>
            </c:strRef>
          </c:tx>
          <c:marker>
            <c:symbol val="none"/>
          </c:marker>
          <c:cat>
            <c:strRef>
              <c:f>'G_Ch2-2'!$AF$8:$AJ$8</c:f>
              <c:strCache>
                <c:ptCount val="5"/>
                <c:pt idx="0">
                  <c:v>16-T4</c:v>
                </c:pt>
                <c:pt idx="1">
                  <c:v>17-T1</c:v>
                </c:pt>
                <c:pt idx="2">
                  <c:v>17-T2</c:v>
                </c:pt>
                <c:pt idx="3">
                  <c:v>17-T3</c:v>
                </c:pt>
                <c:pt idx="4">
                  <c:v>17-T4</c:v>
                </c:pt>
              </c:strCache>
            </c:strRef>
          </c:cat>
          <c:val>
            <c:numRef>
              <c:f>'G_Ch2-2'!$AF$12:$AJ$12</c:f>
              <c:numCache>
                <c:formatCode>General</c:formatCode>
                <c:ptCount val="5"/>
                <c:pt idx="0">
                  <c:v>9.6999999999999993</c:v>
                </c:pt>
                <c:pt idx="1">
                  <c:v>9.4</c:v>
                </c:pt>
                <c:pt idx="2">
                  <c:v>9.1999999999999993</c:v>
                </c:pt>
                <c:pt idx="3">
                  <c:v>9.4</c:v>
                </c:pt>
                <c:pt idx="4">
                  <c:v>8.8000000000000007</c:v>
                </c:pt>
              </c:numCache>
            </c:numRef>
          </c:val>
          <c:smooth val="0"/>
          <c:extLst>
            <c:ext xmlns:c16="http://schemas.microsoft.com/office/drawing/2014/chart" uri="{C3380CC4-5D6E-409C-BE32-E72D297353CC}">
              <c16:uniqueId val="{00000003-23E4-43AF-8711-C83AF2C2D13F}"/>
            </c:ext>
          </c:extLst>
        </c:ser>
        <c:ser>
          <c:idx val="6"/>
          <c:order val="4"/>
          <c:tx>
            <c:strRef>
              <c:f>'G_Ch2-2'!$A$13</c:f>
              <c:strCache>
                <c:ptCount val="1"/>
                <c:pt idx="0">
                  <c:v>ZE Marseille</c:v>
                </c:pt>
              </c:strCache>
            </c:strRef>
          </c:tx>
          <c:spPr>
            <a:ln>
              <a:solidFill>
                <a:srgbClr val="FF99FF"/>
              </a:solidFill>
            </a:ln>
          </c:spPr>
          <c:marker>
            <c:symbol val="none"/>
          </c:marker>
          <c:cat>
            <c:strRef>
              <c:f>'G_Ch2-2'!$AF$8:$AJ$8</c:f>
              <c:strCache>
                <c:ptCount val="5"/>
                <c:pt idx="0">
                  <c:v>16-T4</c:v>
                </c:pt>
                <c:pt idx="1">
                  <c:v>17-T1</c:v>
                </c:pt>
                <c:pt idx="2">
                  <c:v>17-T2</c:v>
                </c:pt>
                <c:pt idx="3">
                  <c:v>17-T3</c:v>
                </c:pt>
                <c:pt idx="4">
                  <c:v>17-T4</c:v>
                </c:pt>
              </c:strCache>
            </c:strRef>
          </c:cat>
          <c:val>
            <c:numRef>
              <c:f>'G_Ch2-2'!$AF$13:$AJ$13</c:f>
              <c:numCache>
                <c:formatCode>General</c:formatCode>
                <c:ptCount val="5"/>
                <c:pt idx="0">
                  <c:v>12.5</c:v>
                </c:pt>
                <c:pt idx="1">
                  <c:v>12</c:v>
                </c:pt>
                <c:pt idx="2">
                  <c:v>11.9</c:v>
                </c:pt>
                <c:pt idx="3">
                  <c:v>12.3</c:v>
                </c:pt>
                <c:pt idx="4">
                  <c:v>11.4</c:v>
                </c:pt>
              </c:numCache>
            </c:numRef>
          </c:val>
          <c:smooth val="0"/>
          <c:extLst>
            <c:ext xmlns:c16="http://schemas.microsoft.com/office/drawing/2014/chart" uri="{C3380CC4-5D6E-409C-BE32-E72D297353CC}">
              <c16:uniqueId val="{00000004-23E4-43AF-8711-C83AF2C2D13F}"/>
            </c:ext>
          </c:extLst>
        </c:ser>
        <c:dLbls>
          <c:showLegendKey val="0"/>
          <c:showVal val="0"/>
          <c:showCatName val="0"/>
          <c:showSerName val="0"/>
          <c:showPercent val="0"/>
          <c:showBubbleSize val="0"/>
        </c:dLbls>
        <c:smooth val="0"/>
        <c:axId val="338604032"/>
        <c:axId val="338605568"/>
      </c:lineChart>
      <c:catAx>
        <c:axId val="338604032"/>
        <c:scaling>
          <c:orientation val="minMax"/>
        </c:scaling>
        <c:delete val="0"/>
        <c:axPos val="b"/>
        <c:numFmt formatCode="General" sourceLinked="0"/>
        <c:majorTickMark val="out"/>
        <c:minorTickMark val="none"/>
        <c:tickLblPos val="nextTo"/>
        <c:txPr>
          <a:bodyPr rot="0" vert="horz"/>
          <a:lstStyle/>
          <a:p>
            <a:pPr>
              <a:defRPr sz="900"/>
            </a:pPr>
            <a:endParaRPr lang="fr-FR"/>
          </a:p>
        </c:txPr>
        <c:crossAx val="338605568"/>
        <c:crosses val="autoZero"/>
        <c:auto val="1"/>
        <c:lblAlgn val="ctr"/>
        <c:lblOffset val="100"/>
        <c:noMultiLvlLbl val="0"/>
      </c:catAx>
      <c:valAx>
        <c:axId val="338605568"/>
        <c:scaling>
          <c:orientation val="minMax"/>
          <c:min val="6.5"/>
        </c:scaling>
        <c:delete val="0"/>
        <c:axPos val="l"/>
        <c:majorGridlines/>
        <c:numFmt formatCode="General" sourceLinked="1"/>
        <c:majorTickMark val="out"/>
        <c:minorTickMark val="none"/>
        <c:tickLblPos val="nextTo"/>
        <c:txPr>
          <a:bodyPr/>
          <a:lstStyle/>
          <a:p>
            <a:pPr>
              <a:defRPr sz="900"/>
            </a:pPr>
            <a:endParaRPr lang="fr-FR"/>
          </a:p>
        </c:txPr>
        <c:crossAx val="338604032"/>
        <c:crossesAt val="1"/>
        <c:crossBetween val="midCat"/>
        <c:majorUnit val="1"/>
      </c:valAx>
      <c:spPr>
        <a:pattFill prst="pct5">
          <a:fgClr>
            <a:schemeClr val="bg2"/>
          </a:fgClr>
          <a:bgClr>
            <a:schemeClr val="bg1"/>
          </a:bgClr>
        </a:pattFill>
      </c:spPr>
    </c:plotArea>
    <c:legend>
      <c:legendPos val="t"/>
      <c:layout>
        <c:manualLayout>
          <c:xMode val="edge"/>
          <c:yMode val="edge"/>
          <c:x val="1.2148128600431227E-2"/>
          <c:y val="8.6399344597837061E-3"/>
          <c:w val="0.98380310458147957"/>
          <c:h val="0.15929614810007126"/>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5469784115825098E-2"/>
          <c:y val="5.1400554097404488E-2"/>
          <c:w val="0.79382620981771934"/>
          <c:h val="0.66981809565470984"/>
        </c:manualLayout>
      </c:layout>
      <c:barChart>
        <c:barDir val="col"/>
        <c:grouping val="percentStacked"/>
        <c:varyColors val="0"/>
        <c:ser>
          <c:idx val="3"/>
          <c:order val="1"/>
          <c:tx>
            <c:strRef>
              <c:f>'D_Ch2-2'!$B$42</c:f>
              <c:strCache>
                <c:ptCount val="1"/>
                <c:pt idx="0">
                  <c:v>−25 ans</c:v>
                </c:pt>
              </c:strCache>
            </c:strRef>
          </c:tx>
          <c:spPr>
            <a:gradFill>
              <a:gsLst>
                <a:gs pos="0">
                  <a:schemeClr val="accent6">
                    <a:lumMod val="40000"/>
                    <a:lumOff val="60000"/>
                  </a:schemeClr>
                </a:gs>
                <a:gs pos="50000">
                  <a:srgbClr val="FFC000"/>
                </a:gs>
                <a:gs pos="100000">
                  <a:srgbClr val="FFFF00"/>
                </a:gs>
              </a:gsLst>
              <a:lin ang="5400000" scaled="0"/>
            </a:gradFill>
            <a:ln>
              <a:noFill/>
            </a:ln>
          </c:spPr>
          <c:invertIfNegative val="0"/>
          <c:cat>
            <c:strRef>
              <c:f>'D_Ch2-2'!$A$43:$A$55</c:f>
              <c:strCache>
                <c:ptCount val="13"/>
                <c:pt idx="0">
                  <c:v>2016-12</c:v>
                </c:pt>
                <c:pt idx="1">
                  <c:v>2017-01</c:v>
                </c:pt>
                <c:pt idx="2">
                  <c:v>2017-02</c:v>
                </c:pt>
                <c:pt idx="3">
                  <c:v>2017-03</c:v>
                </c:pt>
                <c:pt idx="4">
                  <c:v>2017-04</c:v>
                </c:pt>
                <c:pt idx="5">
                  <c:v>2017-05</c:v>
                </c:pt>
                <c:pt idx="6">
                  <c:v>2017-06</c:v>
                </c:pt>
                <c:pt idx="7">
                  <c:v>2017-07</c:v>
                </c:pt>
                <c:pt idx="8">
                  <c:v>2017-08</c:v>
                </c:pt>
                <c:pt idx="9">
                  <c:v>2017-09</c:v>
                </c:pt>
                <c:pt idx="10">
                  <c:v>2017-10</c:v>
                </c:pt>
                <c:pt idx="11">
                  <c:v>2017-11</c:v>
                </c:pt>
                <c:pt idx="12">
                  <c:v>2017-12</c:v>
                </c:pt>
              </c:strCache>
            </c:strRef>
          </c:cat>
          <c:val>
            <c:numRef>
              <c:f>'D_Ch2-2'!$B$43:$B$55</c:f>
              <c:numCache>
                <c:formatCode>#,##0</c:formatCode>
                <c:ptCount val="13"/>
                <c:pt idx="0">
                  <c:v>6922</c:v>
                </c:pt>
                <c:pt idx="1">
                  <c:v>7412</c:v>
                </c:pt>
                <c:pt idx="2">
                  <c:v>7193</c:v>
                </c:pt>
                <c:pt idx="3">
                  <c:v>6969</c:v>
                </c:pt>
                <c:pt idx="4">
                  <c:v>6224</c:v>
                </c:pt>
                <c:pt idx="5">
                  <c:v>6021</c:v>
                </c:pt>
                <c:pt idx="6">
                  <c:v>5745</c:v>
                </c:pt>
                <c:pt idx="7">
                  <c:v>5954</c:v>
                </c:pt>
                <c:pt idx="8">
                  <c:v>6819</c:v>
                </c:pt>
                <c:pt idx="9">
                  <c:v>7220</c:v>
                </c:pt>
                <c:pt idx="10">
                  <c:v>7395</c:v>
                </c:pt>
                <c:pt idx="11">
                  <c:v>7271</c:v>
                </c:pt>
                <c:pt idx="12">
                  <c:v>6873</c:v>
                </c:pt>
              </c:numCache>
            </c:numRef>
          </c:val>
          <c:extLst>
            <c:ext xmlns:c16="http://schemas.microsoft.com/office/drawing/2014/chart" uri="{C3380CC4-5D6E-409C-BE32-E72D297353CC}">
              <c16:uniqueId val="{00000000-C39D-42A2-9D4D-EFD50558C67E}"/>
            </c:ext>
          </c:extLst>
        </c:ser>
        <c:ser>
          <c:idx val="1"/>
          <c:order val="2"/>
          <c:tx>
            <c:strRef>
              <c:f>'D_Ch2-2'!$C$42</c:f>
              <c:strCache>
                <c:ptCount val="1"/>
                <c:pt idx="0">
                  <c:v>25 à 49 ans</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noFill/>
            </a:ln>
          </c:spPr>
          <c:invertIfNegative val="0"/>
          <c:cat>
            <c:strRef>
              <c:f>'D_Ch2-2'!$A$43:$A$55</c:f>
              <c:strCache>
                <c:ptCount val="13"/>
                <c:pt idx="0">
                  <c:v>2016-12</c:v>
                </c:pt>
                <c:pt idx="1">
                  <c:v>2017-01</c:v>
                </c:pt>
                <c:pt idx="2">
                  <c:v>2017-02</c:v>
                </c:pt>
                <c:pt idx="3">
                  <c:v>2017-03</c:v>
                </c:pt>
                <c:pt idx="4">
                  <c:v>2017-04</c:v>
                </c:pt>
                <c:pt idx="5">
                  <c:v>2017-05</c:v>
                </c:pt>
                <c:pt idx="6">
                  <c:v>2017-06</c:v>
                </c:pt>
                <c:pt idx="7">
                  <c:v>2017-07</c:v>
                </c:pt>
                <c:pt idx="8">
                  <c:v>2017-08</c:v>
                </c:pt>
                <c:pt idx="9">
                  <c:v>2017-09</c:v>
                </c:pt>
                <c:pt idx="10">
                  <c:v>2017-10</c:v>
                </c:pt>
                <c:pt idx="11">
                  <c:v>2017-11</c:v>
                </c:pt>
                <c:pt idx="12">
                  <c:v>2017-12</c:v>
                </c:pt>
              </c:strCache>
            </c:strRef>
          </c:cat>
          <c:val>
            <c:numRef>
              <c:f>'D_Ch2-2'!$C$43:$C$55</c:f>
              <c:numCache>
                <c:formatCode>#,##0</c:formatCode>
                <c:ptCount val="13"/>
                <c:pt idx="0">
                  <c:v>31803</c:v>
                </c:pt>
                <c:pt idx="1">
                  <c:v>33072</c:v>
                </c:pt>
                <c:pt idx="2">
                  <c:v>32987</c:v>
                </c:pt>
                <c:pt idx="3">
                  <c:v>32582</c:v>
                </c:pt>
                <c:pt idx="4">
                  <c:v>31116</c:v>
                </c:pt>
                <c:pt idx="5">
                  <c:v>30832</c:v>
                </c:pt>
                <c:pt idx="6">
                  <c:v>30515</c:v>
                </c:pt>
                <c:pt idx="7">
                  <c:v>32029</c:v>
                </c:pt>
                <c:pt idx="8">
                  <c:v>34850</c:v>
                </c:pt>
                <c:pt idx="9">
                  <c:v>32284</c:v>
                </c:pt>
                <c:pt idx="10">
                  <c:v>32519</c:v>
                </c:pt>
                <c:pt idx="11">
                  <c:v>32312</c:v>
                </c:pt>
                <c:pt idx="12">
                  <c:v>32393</c:v>
                </c:pt>
              </c:numCache>
            </c:numRef>
          </c:val>
          <c:extLst>
            <c:ext xmlns:c16="http://schemas.microsoft.com/office/drawing/2014/chart" uri="{C3380CC4-5D6E-409C-BE32-E72D297353CC}">
              <c16:uniqueId val="{00000001-C39D-42A2-9D4D-EFD50558C67E}"/>
            </c:ext>
          </c:extLst>
        </c:ser>
        <c:ser>
          <c:idx val="2"/>
          <c:order val="3"/>
          <c:tx>
            <c:strRef>
              <c:f>'D_Ch2-2'!$D$42</c:f>
              <c:strCache>
                <c:ptCount val="1"/>
                <c:pt idx="0">
                  <c:v>50 ans et +</c:v>
                </c:pt>
              </c:strCache>
            </c:strRef>
          </c:tx>
          <c:spPr>
            <a:gradFill>
              <a:gsLst>
                <a:gs pos="0">
                  <a:srgbClr val="CCFF99"/>
                </a:gs>
                <a:gs pos="50000">
                  <a:srgbClr val="89FF89"/>
                </a:gs>
                <a:gs pos="100000">
                  <a:srgbClr val="D9FFD9"/>
                </a:gs>
              </a:gsLst>
              <a:lin ang="5400000" scaled="0"/>
            </a:gradFill>
            <a:ln>
              <a:noFill/>
            </a:ln>
          </c:spPr>
          <c:invertIfNegative val="0"/>
          <c:cat>
            <c:strRef>
              <c:f>'D_Ch2-2'!$A$43:$A$55</c:f>
              <c:strCache>
                <c:ptCount val="13"/>
                <c:pt idx="0">
                  <c:v>2016-12</c:v>
                </c:pt>
                <c:pt idx="1">
                  <c:v>2017-01</c:v>
                </c:pt>
                <c:pt idx="2">
                  <c:v>2017-02</c:v>
                </c:pt>
                <c:pt idx="3">
                  <c:v>2017-03</c:v>
                </c:pt>
                <c:pt idx="4">
                  <c:v>2017-04</c:v>
                </c:pt>
                <c:pt idx="5">
                  <c:v>2017-05</c:v>
                </c:pt>
                <c:pt idx="6">
                  <c:v>2017-06</c:v>
                </c:pt>
                <c:pt idx="7">
                  <c:v>2017-07</c:v>
                </c:pt>
                <c:pt idx="8">
                  <c:v>2017-08</c:v>
                </c:pt>
                <c:pt idx="9">
                  <c:v>2017-09</c:v>
                </c:pt>
                <c:pt idx="10">
                  <c:v>2017-10</c:v>
                </c:pt>
                <c:pt idx="11">
                  <c:v>2017-11</c:v>
                </c:pt>
                <c:pt idx="12">
                  <c:v>2017-12</c:v>
                </c:pt>
              </c:strCache>
            </c:strRef>
          </c:cat>
          <c:val>
            <c:numRef>
              <c:f>'D_Ch2-2'!$D$43:$D$55</c:f>
              <c:numCache>
                <c:formatCode>#,##0</c:formatCode>
                <c:ptCount val="13"/>
                <c:pt idx="0">
                  <c:v>10043</c:v>
                </c:pt>
                <c:pt idx="1">
                  <c:v>10291</c:v>
                </c:pt>
                <c:pt idx="2">
                  <c:v>10314</c:v>
                </c:pt>
                <c:pt idx="3">
                  <c:v>10252</c:v>
                </c:pt>
                <c:pt idx="4">
                  <c:v>9999</c:v>
                </c:pt>
                <c:pt idx="5">
                  <c:v>10020</c:v>
                </c:pt>
                <c:pt idx="6">
                  <c:v>9891</c:v>
                </c:pt>
                <c:pt idx="7">
                  <c:v>10097</c:v>
                </c:pt>
                <c:pt idx="8">
                  <c:v>10724</c:v>
                </c:pt>
                <c:pt idx="9">
                  <c:v>10152</c:v>
                </c:pt>
                <c:pt idx="10">
                  <c:v>10245</c:v>
                </c:pt>
                <c:pt idx="11">
                  <c:v>10335</c:v>
                </c:pt>
                <c:pt idx="12">
                  <c:v>10367</c:v>
                </c:pt>
              </c:numCache>
            </c:numRef>
          </c:val>
          <c:extLst>
            <c:ext xmlns:c16="http://schemas.microsoft.com/office/drawing/2014/chart" uri="{C3380CC4-5D6E-409C-BE32-E72D297353CC}">
              <c16:uniqueId val="{00000002-C39D-42A2-9D4D-EFD50558C67E}"/>
            </c:ext>
          </c:extLst>
        </c:ser>
        <c:dLbls>
          <c:showLegendKey val="0"/>
          <c:showVal val="0"/>
          <c:showCatName val="0"/>
          <c:showSerName val="0"/>
          <c:showPercent val="0"/>
          <c:showBubbleSize val="0"/>
        </c:dLbls>
        <c:gapWidth val="54"/>
        <c:overlap val="100"/>
        <c:axId val="338725504"/>
        <c:axId val="338739584"/>
      </c:barChart>
      <c:lineChart>
        <c:grouping val="standard"/>
        <c:varyColors val="0"/>
        <c:ser>
          <c:idx val="0"/>
          <c:order val="0"/>
          <c:tx>
            <c:strRef>
              <c:f>'D_Ch2-2'!$E$42</c:f>
              <c:strCache>
                <c:ptCount val="1"/>
                <c:pt idx="0">
                  <c:v>Nb de demandeurs Cat A</c:v>
                </c:pt>
              </c:strCache>
            </c:strRef>
          </c:tx>
          <c:marker>
            <c:symbol val="none"/>
          </c:marker>
          <c:cat>
            <c:strRef>
              <c:f>'D_Ch2-2'!$A$43:$A$55</c:f>
              <c:strCache>
                <c:ptCount val="13"/>
                <c:pt idx="0">
                  <c:v>2016-12</c:v>
                </c:pt>
                <c:pt idx="1">
                  <c:v>2017-01</c:v>
                </c:pt>
                <c:pt idx="2">
                  <c:v>2017-02</c:v>
                </c:pt>
                <c:pt idx="3">
                  <c:v>2017-03</c:v>
                </c:pt>
                <c:pt idx="4">
                  <c:v>2017-04</c:v>
                </c:pt>
                <c:pt idx="5">
                  <c:v>2017-05</c:v>
                </c:pt>
                <c:pt idx="6">
                  <c:v>2017-06</c:v>
                </c:pt>
                <c:pt idx="7">
                  <c:v>2017-07</c:v>
                </c:pt>
                <c:pt idx="8">
                  <c:v>2017-08</c:v>
                </c:pt>
                <c:pt idx="9">
                  <c:v>2017-09</c:v>
                </c:pt>
                <c:pt idx="10">
                  <c:v>2017-10</c:v>
                </c:pt>
                <c:pt idx="11">
                  <c:v>2017-11</c:v>
                </c:pt>
                <c:pt idx="12">
                  <c:v>2017-12</c:v>
                </c:pt>
              </c:strCache>
            </c:strRef>
          </c:cat>
          <c:val>
            <c:numRef>
              <c:f>'D_Ch2-2'!$E$43:$E$55</c:f>
              <c:numCache>
                <c:formatCode>#,##0</c:formatCode>
                <c:ptCount val="13"/>
                <c:pt idx="0">
                  <c:v>48768</c:v>
                </c:pt>
                <c:pt idx="1">
                  <c:v>50775</c:v>
                </c:pt>
                <c:pt idx="2">
                  <c:v>50494</c:v>
                </c:pt>
                <c:pt idx="3">
                  <c:v>49803</c:v>
                </c:pt>
                <c:pt idx="4">
                  <c:v>47339</c:v>
                </c:pt>
                <c:pt idx="5">
                  <c:v>46873</c:v>
                </c:pt>
                <c:pt idx="6">
                  <c:v>46151</c:v>
                </c:pt>
                <c:pt idx="7">
                  <c:v>48080</c:v>
                </c:pt>
                <c:pt idx="8">
                  <c:v>52393</c:v>
                </c:pt>
                <c:pt idx="9">
                  <c:v>49656</c:v>
                </c:pt>
                <c:pt idx="10">
                  <c:v>50159</c:v>
                </c:pt>
                <c:pt idx="11">
                  <c:v>49918</c:v>
                </c:pt>
                <c:pt idx="12">
                  <c:v>49633</c:v>
                </c:pt>
              </c:numCache>
            </c:numRef>
          </c:val>
          <c:smooth val="0"/>
          <c:extLst>
            <c:ext xmlns:c16="http://schemas.microsoft.com/office/drawing/2014/chart" uri="{C3380CC4-5D6E-409C-BE32-E72D297353CC}">
              <c16:uniqueId val="{00000003-C39D-42A2-9D4D-EFD50558C67E}"/>
            </c:ext>
          </c:extLst>
        </c:ser>
        <c:dLbls>
          <c:showLegendKey val="0"/>
          <c:showVal val="0"/>
          <c:showCatName val="0"/>
          <c:showSerName val="0"/>
          <c:showPercent val="0"/>
          <c:showBubbleSize val="0"/>
        </c:dLbls>
        <c:marker val="1"/>
        <c:smooth val="0"/>
        <c:axId val="338742656"/>
        <c:axId val="338741120"/>
      </c:lineChart>
      <c:catAx>
        <c:axId val="338725504"/>
        <c:scaling>
          <c:orientation val="minMax"/>
        </c:scaling>
        <c:delete val="0"/>
        <c:axPos val="b"/>
        <c:numFmt formatCode="General" sourceLinked="1"/>
        <c:majorTickMark val="out"/>
        <c:minorTickMark val="none"/>
        <c:tickLblPos val="nextTo"/>
        <c:txPr>
          <a:bodyPr rot="-5400000" vert="horz"/>
          <a:lstStyle/>
          <a:p>
            <a:pPr>
              <a:defRPr sz="800"/>
            </a:pPr>
            <a:endParaRPr lang="fr-FR"/>
          </a:p>
        </c:txPr>
        <c:crossAx val="338739584"/>
        <c:crosses val="autoZero"/>
        <c:auto val="1"/>
        <c:lblAlgn val="ctr"/>
        <c:lblOffset val="100"/>
        <c:noMultiLvlLbl val="0"/>
      </c:catAx>
      <c:valAx>
        <c:axId val="338739584"/>
        <c:scaling>
          <c:orientation val="minMax"/>
        </c:scaling>
        <c:delete val="0"/>
        <c:axPos val="l"/>
        <c:majorGridlines>
          <c:spPr>
            <a:ln>
              <a:solidFill>
                <a:schemeClr val="bg2">
                  <a:lumMod val="90000"/>
                </a:schemeClr>
              </a:solidFill>
              <a:prstDash val="sysDash"/>
            </a:ln>
          </c:spPr>
        </c:majorGridlines>
        <c:numFmt formatCode="0%" sourceLinked="1"/>
        <c:majorTickMark val="out"/>
        <c:minorTickMark val="none"/>
        <c:tickLblPos val="nextTo"/>
        <c:txPr>
          <a:bodyPr/>
          <a:lstStyle/>
          <a:p>
            <a:pPr>
              <a:defRPr sz="900"/>
            </a:pPr>
            <a:endParaRPr lang="fr-FR"/>
          </a:p>
        </c:txPr>
        <c:crossAx val="338725504"/>
        <c:crosses val="autoZero"/>
        <c:crossBetween val="between"/>
        <c:majorUnit val="0.1"/>
      </c:valAx>
      <c:valAx>
        <c:axId val="338741120"/>
        <c:scaling>
          <c:orientation val="minMax"/>
        </c:scaling>
        <c:delete val="0"/>
        <c:axPos val="r"/>
        <c:numFmt formatCode="General" sourceLinked="0"/>
        <c:majorTickMark val="out"/>
        <c:minorTickMark val="none"/>
        <c:tickLblPos val="nextTo"/>
        <c:txPr>
          <a:bodyPr/>
          <a:lstStyle/>
          <a:p>
            <a:pPr>
              <a:defRPr sz="800"/>
            </a:pPr>
            <a:endParaRPr lang="fr-FR"/>
          </a:p>
        </c:txPr>
        <c:crossAx val="338742656"/>
        <c:crosses val="max"/>
        <c:crossBetween val="between"/>
      </c:valAx>
      <c:catAx>
        <c:axId val="338742656"/>
        <c:scaling>
          <c:orientation val="minMax"/>
        </c:scaling>
        <c:delete val="1"/>
        <c:axPos val="b"/>
        <c:numFmt formatCode="General" sourceLinked="1"/>
        <c:majorTickMark val="out"/>
        <c:minorTickMark val="none"/>
        <c:tickLblPos val="nextTo"/>
        <c:crossAx val="338741120"/>
        <c:crosses val="autoZero"/>
        <c:auto val="1"/>
        <c:lblAlgn val="ctr"/>
        <c:lblOffset val="100"/>
        <c:noMultiLvlLbl val="0"/>
      </c:catAx>
    </c:plotArea>
    <c:legend>
      <c:legendPos val="b"/>
      <c:layout>
        <c:manualLayout>
          <c:xMode val="edge"/>
          <c:yMode val="edge"/>
          <c:x val="1.5400481189851269E-2"/>
          <c:y val="0.89380669567031878"/>
          <c:w val="0.94455807845086759"/>
          <c:h val="0.10180008748906387"/>
        </c:manualLayout>
      </c:layout>
      <c:overlay val="0"/>
      <c:txPr>
        <a:bodyPr/>
        <a:lstStyle/>
        <a:p>
          <a:pPr>
            <a:defRPr sz="8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5469784115825098E-2"/>
          <c:y val="5.1400554097404488E-2"/>
          <c:w val="0.79382620981771934"/>
          <c:h val="0.59574402706640939"/>
        </c:manualLayout>
      </c:layout>
      <c:barChart>
        <c:barDir val="col"/>
        <c:grouping val="percentStacked"/>
        <c:varyColors val="0"/>
        <c:ser>
          <c:idx val="3"/>
          <c:order val="1"/>
          <c:tx>
            <c:strRef>
              <c:f>'D_Ch2-2'!$F$42</c:f>
              <c:strCache>
                <c:ptCount val="1"/>
                <c:pt idx="0">
                  <c:v>&lt; 6 mois</c:v>
                </c:pt>
              </c:strCache>
            </c:strRef>
          </c:tx>
          <c:spPr>
            <a:gradFill>
              <a:gsLst>
                <a:gs pos="0">
                  <a:schemeClr val="accent6">
                    <a:lumMod val="40000"/>
                    <a:lumOff val="60000"/>
                  </a:schemeClr>
                </a:gs>
                <a:gs pos="50000">
                  <a:srgbClr val="FFC000"/>
                </a:gs>
                <a:gs pos="100000">
                  <a:srgbClr val="FFFF00"/>
                </a:gs>
              </a:gsLst>
              <a:lin ang="5400000" scaled="0"/>
            </a:gradFill>
            <a:ln>
              <a:noFill/>
            </a:ln>
          </c:spPr>
          <c:invertIfNegative val="0"/>
          <c:cat>
            <c:strRef>
              <c:f>'D_Ch2-2'!$A$43:$A$55</c:f>
              <c:strCache>
                <c:ptCount val="13"/>
                <c:pt idx="0">
                  <c:v>2016-12</c:v>
                </c:pt>
                <c:pt idx="1">
                  <c:v>2017-01</c:v>
                </c:pt>
                <c:pt idx="2">
                  <c:v>2017-02</c:v>
                </c:pt>
                <c:pt idx="3">
                  <c:v>2017-03</c:v>
                </c:pt>
                <c:pt idx="4">
                  <c:v>2017-04</c:v>
                </c:pt>
                <c:pt idx="5">
                  <c:v>2017-05</c:v>
                </c:pt>
                <c:pt idx="6">
                  <c:v>2017-06</c:v>
                </c:pt>
                <c:pt idx="7">
                  <c:v>2017-07</c:v>
                </c:pt>
                <c:pt idx="8">
                  <c:v>2017-08</c:v>
                </c:pt>
                <c:pt idx="9">
                  <c:v>2017-09</c:v>
                </c:pt>
                <c:pt idx="10">
                  <c:v>2017-10</c:v>
                </c:pt>
                <c:pt idx="11">
                  <c:v>2017-11</c:v>
                </c:pt>
                <c:pt idx="12">
                  <c:v>2017-12</c:v>
                </c:pt>
              </c:strCache>
            </c:strRef>
          </c:cat>
          <c:val>
            <c:numRef>
              <c:f>'D_Ch2-2'!$F$43:$F$55</c:f>
              <c:numCache>
                <c:formatCode>#,##0</c:formatCode>
                <c:ptCount val="13"/>
                <c:pt idx="0">
                  <c:v>22631</c:v>
                </c:pt>
                <c:pt idx="1">
                  <c:v>23552</c:v>
                </c:pt>
                <c:pt idx="2">
                  <c:v>22951</c:v>
                </c:pt>
                <c:pt idx="3">
                  <c:v>21440</c:v>
                </c:pt>
                <c:pt idx="4">
                  <c:v>19855</c:v>
                </c:pt>
                <c:pt idx="5">
                  <c:v>19425</c:v>
                </c:pt>
                <c:pt idx="6">
                  <c:v>18945</c:v>
                </c:pt>
                <c:pt idx="7">
                  <c:v>19916</c:v>
                </c:pt>
                <c:pt idx="8">
                  <c:v>21875</c:v>
                </c:pt>
                <c:pt idx="9">
                  <c:v>22195</c:v>
                </c:pt>
                <c:pt idx="10">
                  <c:v>22876</c:v>
                </c:pt>
                <c:pt idx="11">
                  <c:v>22859</c:v>
                </c:pt>
                <c:pt idx="12">
                  <c:v>22280</c:v>
                </c:pt>
              </c:numCache>
            </c:numRef>
          </c:val>
          <c:extLst>
            <c:ext xmlns:c16="http://schemas.microsoft.com/office/drawing/2014/chart" uri="{C3380CC4-5D6E-409C-BE32-E72D297353CC}">
              <c16:uniqueId val="{00000000-C591-468F-9328-FD7C959182D0}"/>
            </c:ext>
          </c:extLst>
        </c:ser>
        <c:ser>
          <c:idx val="1"/>
          <c:order val="2"/>
          <c:tx>
            <c:strRef>
              <c:f>'D_Ch2-2'!$H$42</c:f>
              <c:strCache>
                <c:ptCount val="1"/>
                <c:pt idx="0">
                  <c:v>12 à 23 mois</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noFill/>
            </a:ln>
          </c:spPr>
          <c:invertIfNegative val="0"/>
          <c:cat>
            <c:strRef>
              <c:f>'D_Ch2-2'!$A$43:$A$55</c:f>
              <c:strCache>
                <c:ptCount val="13"/>
                <c:pt idx="0">
                  <c:v>2016-12</c:v>
                </c:pt>
                <c:pt idx="1">
                  <c:v>2017-01</c:v>
                </c:pt>
                <c:pt idx="2">
                  <c:v>2017-02</c:v>
                </c:pt>
                <c:pt idx="3">
                  <c:v>2017-03</c:v>
                </c:pt>
                <c:pt idx="4">
                  <c:v>2017-04</c:v>
                </c:pt>
                <c:pt idx="5">
                  <c:v>2017-05</c:v>
                </c:pt>
                <c:pt idx="6">
                  <c:v>2017-06</c:v>
                </c:pt>
                <c:pt idx="7">
                  <c:v>2017-07</c:v>
                </c:pt>
                <c:pt idx="8">
                  <c:v>2017-08</c:v>
                </c:pt>
                <c:pt idx="9">
                  <c:v>2017-09</c:v>
                </c:pt>
                <c:pt idx="10">
                  <c:v>2017-10</c:v>
                </c:pt>
                <c:pt idx="11">
                  <c:v>2017-11</c:v>
                </c:pt>
                <c:pt idx="12">
                  <c:v>2017-12</c:v>
                </c:pt>
              </c:strCache>
            </c:strRef>
          </c:cat>
          <c:val>
            <c:numRef>
              <c:f>'D_Ch2-2'!$H$43:$H$55</c:f>
              <c:numCache>
                <c:formatCode>#,##0</c:formatCode>
                <c:ptCount val="13"/>
                <c:pt idx="0">
                  <c:v>8494</c:v>
                </c:pt>
                <c:pt idx="1">
                  <c:v>8691</c:v>
                </c:pt>
                <c:pt idx="2">
                  <c:v>8708</c:v>
                </c:pt>
                <c:pt idx="3">
                  <c:v>8620</c:v>
                </c:pt>
                <c:pt idx="4">
                  <c:v>8319</c:v>
                </c:pt>
                <c:pt idx="5">
                  <c:v>8295</c:v>
                </c:pt>
                <c:pt idx="6">
                  <c:v>8239</c:v>
                </c:pt>
                <c:pt idx="7">
                  <c:v>8562</c:v>
                </c:pt>
                <c:pt idx="8">
                  <c:v>9419</c:v>
                </c:pt>
                <c:pt idx="9">
                  <c:v>8755</c:v>
                </c:pt>
                <c:pt idx="10">
                  <c:v>8854</c:v>
                </c:pt>
                <c:pt idx="11">
                  <c:v>8862</c:v>
                </c:pt>
                <c:pt idx="12">
                  <c:v>9030</c:v>
                </c:pt>
              </c:numCache>
            </c:numRef>
          </c:val>
          <c:extLst>
            <c:ext xmlns:c16="http://schemas.microsoft.com/office/drawing/2014/chart" uri="{C3380CC4-5D6E-409C-BE32-E72D297353CC}">
              <c16:uniqueId val="{00000001-C591-468F-9328-FD7C959182D0}"/>
            </c:ext>
          </c:extLst>
        </c:ser>
        <c:ser>
          <c:idx val="2"/>
          <c:order val="3"/>
          <c:tx>
            <c:strRef>
              <c:f>'D_Ch2-2'!$I$42</c:f>
              <c:strCache>
                <c:ptCount val="1"/>
                <c:pt idx="0">
                  <c:v>24 à 35 mois</c:v>
                </c:pt>
              </c:strCache>
            </c:strRef>
          </c:tx>
          <c:spPr>
            <a:gradFill>
              <a:gsLst>
                <a:gs pos="0">
                  <a:srgbClr val="CCFF99"/>
                </a:gs>
                <a:gs pos="50000">
                  <a:srgbClr val="89FF89"/>
                </a:gs>
                <a:gs pos="100000">
                  <a:srgbClr val="D9FFD9"/>
                </a:gs>
              </a:gsLst>
              <a:lin ang="5400000" scaled="0"/>
            </a:gradFill>
            <a:ln>
              <a:noFill/>
            </a:ln>
          </c:spPr>
          <c:invertIfNegative val="0"/>
          <c:cat>
            <c:strRef>
              <c:f>'D_Ch2-2'!$A$43:$A$55</c:f>
              <c:strCache>
                <c:ptCount val="13"/>
                <c:pt idx="0">
                  <c:v>2016-12</c:v>
                </c:pt>
                <c:pt idx="1">
                  <c:v>2017-01</c:v>
                </c:pt>
                <c:pt idx="2">
                  <c:v>2017-02</c:v>
                </c:pt>
                <c:pt idx="3">
                  <c:v>2017-03</c:v>
                </c:pt>
                <c:pt idx="4">
                  <c:v>2017-04</c:v>
                </c:pt>
                <c:pt idx="5">
                  <c:v>2017-05</c:v>
                </c:pt>
                <c:pt idx="6">
                  <c:v>2017-06</c:v>
                </c:pt>
                <c:pt idx="7">
                  <c:v>2017-07</c:v>
                </c:pt>
                <c:pt idx="8">
                  <c:v>2017-08</c:v>
                </c:pt>
                <c:pt idx="9">
                  <c:v>2017-09</c:v>
                </c:pt>
                <c:pt idx="10">
                  <c:v>2017-10</c:v>
                </c:pt>
                <c:pt idx="11">
                  <c:v>2017-11</c:v>
                </c:pt>
                <c:pt idx="12">
                  <c:v>2017-12</c:v>
                </c:pt>
              </c:strCache>
            </c:strRef>
          </c:cat>
          <c:val>
            <c:numRef>
              <c:f>'D_Ch2-2'!$I$43:$I$55</c:f>
              <c:numCache>
                <c:formatCode>#,##0</c:formatCode>
                <c:ptCount val="13"/>
                <c:pt idx="0">
                  <c:v>3635</c:v>
                </c:pt>
                <c:pt idx="1">
                  <c:v>3774</c:v>
                </c:pt>
                <c:pt idx="2">
                  <c:v>3720</c:v>
                </c:pt>
                <c:pt idx="3">
                  <c:v>3732</c:v>
                </c:pt>
                <c:pt idx="4">
                  <c:v>3492</c:v>
                </c:pt>
                <c:pt idx="5">
                  <c:v>3372</c:v>
                </c:pt>
                <c:pt idx="6">
                  <c:v>3341</c:v>
                </c:pt>
                <c:pt idx="7">
                  <c:v>3526</c:v>
                </c:pt>
                <c:pt idx="8">
                  <c:v>3868</c:v>
                </c:pt>
                <c:pt idx="9">
                  <c:v>3542</c:v>
                </c:pt>
                <c:pt idx="10">
                  <c:v>3566</c:v>
                </c:pt>
                <c:pt idx="11">
                  <c:v>3587</c:v>
                </c:pt>
                <c:pt idx="12">
                  <c:v>3556</c:v>
                </c:pt>
              </c:numCache>
            </c:numRef>
          </c:val>
          <c:extLst>
            <c:ext xmlns:c16="http://schemas.microsoft.com/office/drawing/2014/chart" uri="{C3380CC4-5D6E-409C-BE32-E72D297353CC}">
              <c16:uniqueId val="{00000002-C591-468F-9328-FD7C959182D0}"/>
            </c:ext>
          </c:extLst>
        </c:ser>
        <c:dLbls>
          <c:showLegendKey val="0"/>
          <c:showVal val="0"/>
          <c:showCatName val="0"/>
          <c:showSerName val="0"/>
          <c:showPercent val="0"/>
          <c:showBubbleSize val="0"/>
        </c:dLbls>
        <c:gapWidth val="54"/>
        <c:overlap val="100"/>
        <c:axId val="338862464"/>
        <c:axId val="338864000"/>
      </c:barChart>
      <c:lineChart>
        <c:grouping val="standard"/>
        <c:varyColors val="0"/>
        <c:ser>
          <c:idx val="0"/>
          <c:order val="0"/>
          <c:tx>
            <c:strRef>
              <c:f>'D_Ch2-2'!$K$42</c:f>
              <c:strCache>
                <c:ptCount val="1"/>
                <c:pt idx="0">
                  <c:v>Nb de demandeurs Cat A</c:v>
                </c:pt>
              </c:strCache>
            </c:strRef>
          </c:tx>
          <c:marker>
            <c:symbol val="none"/>
          </c:marker>
          <c:cat>
            <c:strRef>
              <c:f>'D_Ch2-2'!$A$43:$A$55</c:f>
              <c:strCache>
                <c:ptCount val="13"/>
                <c:pt idx="0">
                  <c:v>2016-12</c:v>
                </c:pt>
                <c:pt idx="1">
                  <c:v>2017-01</c:v>
                </c:pt>
                <c:pt idx="2">
                  <c:v>2017-02</c:v>
                </c:pt>
                <c:pt idx="3">
                  <c:v>2017-03</c:v>
                </c:pt>
                <c:pt idx="4">
                  <c:v>2017-04</c:v>
                </c:pt>
                <c:pt idx="5">
                  <c:v>2017-05</c:v>
                </c:pt>
                <c:pt idx="6">
                  <c:v>2017-06</c:v>
                </c:pt>
                <c:pt idx="7">
                  <c:v>2017-07</c:v>
                </c:pt>
                <c:pt idx="8">
                  <c:v>2017-08</c:v>
                </c:pt>
                <c:pt idx="9">
                  <c:v>2017-09</c:v>
                </c:pt>
                <c:pt idx="10">
                  <c:v>2017-10</c:v>
                </c:pt>
                <c:pt idx="11">
                  <c:v>2017-11</c:v>
                </c:pt>
                <c:pt idx="12">
                  <c:v>2017-12</c:v>
                </c:pt>
              </c:strCache>
            </c:strRef>
          </c:cat>
          <c:val>
            <c:numRef>
              <c:f>'D_Ch2-2'!$K$43:$K$55</c:f>
              <c:numCache>
                <c:formatCode>#,##0</c:formatCode>
                <c:ptCount val="13"/>
                <c:pt idx="0">
                  <c:v>48768</c:v>
                </c:pt>
                <c:pt idx="1">
                  <c:v>50775</c:v>
                </c:pt>
                <c:pt idx="2">
                  <c:v>50494</c:v>
                </c:pt>
                <c:pt idx="3">
                  <c:v>49803</c:v>
                </c:pt>
                <c:pt idx="4">
                  <c:v>47339</c:v>
                </c:pt>
                <c:pt idx="5">
                  <c:v>46873</c:v>
                </c:pt>
                <c:pt idx="6">
                  <c:v>46151</c:v>
                </c:pt>
                <c:pt idx="7">
                  <c:v>48080</c:v>
                </c:pt>
                <c:pt idx="8">
                  <c:v>52393</c:v>
                </c:pt>
                <c:pt idx="9">
                  <c:v>49656</c:v>
                </c:pt>
                <c:pt idx="10">
                  <c:v>50159</c:v>
                </c:pt>
                <c:pt idx="11">
                  <c:v>49918</c:v>
                </c:pt>
                <c:pt idx="12">
                  <c:v>49633</c:v>
                </c:pt>
              </c:numCache>
            </c:numRef>
          </c:val>
          <c:smooth val="0"/>
          <c:extLst>
            <c:ext xmlns:c16="http://schemas.microsoft.com/office/drawing/2014/chart" uri="{C3380CC4-5D6E-409C-BE32-E72D297353CC}">
              <c16:uniqueId val="{00000003-C591-468F-9328-FD7C959182D0}"/>
            </c:ext>
          </c:extLst>
        </c:ser>
        <c:dLbls>
          <c:showLegendKey val="0"/>
          <c:showVal val="0"/>
          <c:showCatName val="0"/>
          <c:showSerName val="0"/>
          <c:showPercent val="0"/>
          <c:showBubbleSize val="0"/>
        </c:dLbls>
        <c:marker val="1"/>
        <c:smooth val="0"/>
        <c:axId val="338883712"/>
        <c:axId val="338865536"/>
      </c:lineChart>
      <c:catAx>
        <c:axId val="338862464"/>
        <c:scaling>
          <c:orientation val="minMax"/>
        </c:scaling>
        <c:delete val="0"/>
        <c:axPos val="b"/>
        <c:numFmt formatCode="General" sourceLinked="1"/>
        <c:majorTickMark val="out"/>
        <c:minorTickMark val="none"/>
        <c:tickLblPos val="nextTo"/>
        <c:txPr>
          <a:bodyPr rot="-5400000" vert="horz"/>
          <a:lstStyle/>
          <a:p>
            <a:pPr>
              <a:defRPr sz="800"/>
            </a:pPr>
            <a:endParaRPr lang="fr-FR"/>
          </a:p>
        </c:txPr>
        <c:crossAx val="338864000"/>
        <c:crosses val="autoZero"/>
        <c:auto val="1"/>
        <c:lblAlgn val="ctr"/>
        <c:lblOffset val="100"/>
        <c:noMultiLvlLbl val="0"/>
      </c:catAx>
      <c:valAx>
        <c:axId val="338864000"/>
        <c:scaling>
          <c:orientation val="minMax"/>
        </c:scaling>
        <c:delete val="0"/>
        <c:axPos val="l"/>
        <c:majorGridlines>
          <c:spPr>
            <a:ln>
              <a:solidFill>
                <a:schemeClr val="bg2">
                  <a:lumMod val="90000"/>
                </a:schemeClr>
              </a:solidFill>
              <a:prstDash val="sysDash"/>
            </a:ln>
          </c:spPr>
        </c:majorGridlines>
        <c:numFmt formatCode="0%" sourceLinked="1"/>
        <c:majorTickMark val="out"/>
        <c:minorTickMark val="none"/>
        <c:tickLblPos val="nextTo"/>
        <c:txPr>
          <a:bodyPr/>
          <a:lstStyle/>
          <a:p>
            <a:pPr>
              <a:defRPr sz="800"/>
            </a:pPr>
            <a:endParaRPr lang="fr-FR"/>
          </a:p>
        </c:txPr>
        <c:crossAx val="338862464"/>
        <c:crosses val="autoZero"/>
        <c:crossBetween val="between"/>
        <c:majorUnit val="0.1"/>
      </c:valAx>
      <c:valAx>
        <c:axId val="338865536"/>
        <c:scaling>
          <c:orientation val="minMax"/>
        </c:scaling>
        <c:delete val="0"/>
        <c:axPos val="r"/>
        <c:numFmt formatCode="General" sourceLinked="0"/>
        <c:majorTickMark val="out"/>
        <c:minorTickMark val="none"/>
        <c:tickLblPos val="nextTo"/>
        <c:txPr>
          <a:bodyPr/>
          <a:lstStyle/>
          <a:p>
            <a:pPr>
              <a:defRPr sz="800"/>
            </a:pPr>
            <a:endParaRPr lang="fr-FR"/>
          </a:p>
        </c:txPr>
        <c:crossAx val="338883712"/>
        <c:crosses val="max"/>
        <c:crossBetween val="between"/>
      </c:valAx>
      <c:catAx>
        <c:axId val="338883712"/>
        <c:scaling>
          <c:orientation val="minMax"/>
        </c:scaling>
        <c:delete val="1"/>
        <c:axPos val="b"/>
        <c:numFmt formatCode="General" sourceLinked="1"/>
        <c:majorTickMark val="out"/>
        <c:minorTickMark val="none"/>
        <c:tickLblPos val="nextTo"/>
        <c:crossAx val="338865536"/>
        <c:crosses val="autoZero"/>
        <c:auto val="1"/>
        <c:lblAlgn val="ctr"/>
        <c:lblOffset val="100"/>
        <c:noMultiLvlLbl val="0"/>
      </c:catAx>
    </c:plotArea>
    <c:legend>
      <c:legendPos val="b"/>
      <c:layout>
        <c:manualLayout>
          <c:xMode val="edge"/>
          <c:yMode val="edge"/>
          <c:x val="1.5400521787045174E-2"/>
          <c:y val="0.83397349747411442"/>
          <c:w val="0.94455807845086759"/>
          <c:h val="0.12494818039744623"/>
        </c:manualLayout>
      </c:layout>
      <c:overlay val="0"/>
      <c:txPr>
        <a:bodyPr/>
        <a:lstStyle/>
        <a:p>
          <a:pPr>
            <a:defRPr sz="8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812724132393579E-2"/>
          <c:y val="2.0527773916472973E-2"/>
          <c:w val="0.66260349335561197"/>
          <c:h val="0.76671494195650702"/>
        </c:manualLayout>
      </c:layout>
      <c:barChart>
        <c:barDir val="col"/>
        <c:grouping val="percentStacked"/>
        <c:varyColors val="0"/>
        <c:ser>
          <c:idx val="0"/>
          <c:order val="0"/>
          <c:tx>
            <c:strRef>
              <c:f>'D_Ch2-2'!$B$119</c:f>
              <c:strCache>
                <c:ptCount val="1"/>
                <c:pt idx="0">
                  <c:v>Agroalimentaire</c:v>
                </c:pt>
              </c:strCache>
            </c:strRef>
          </c:tx>
          <c:spPr>
            <a:solidFill>
              <a:srgbClr val="FF0000"/>
            </a:solidFill>
          </c:spPr>
          <c:invertIfNegative val="0"/>
          <c:cat>
            <c:strRef>
              <c:f>'D_Ch2-2'!$A$120:$A$135</c:f>
              <c:strCache>
                <c:ptCount val="16"/>
                <c:pt idx="0">
                  <c:v>Rhône</c:v>
                </c:pt>
                <c:pt idx="1">
                  <c:v>Haute-Garonne</c:v>
                </c:pt>
                <c:pt idx="2">
                  <c:v>Loire-Atlantique</c:v>
                </c:pt>
                <c:pt idx="3">
                  <c:v>Bouches-du-Rhône</c:v>
                </c:pt>
                <c:pt idx="4">
                  <c:v>Ille-et-Vilaine</c:v>
                </c:pt>
                <c:pt idx="5">
                  <c:v>Isère</c:v>
                </c:pt>
                <c:pt idx="6">
                  <c:v>Gironde</c:v>
                </c:pt>
                <c:pt idx="7">
                  <c:v>F. Métro</c:v>
                </c:pt>
                <c:pt idx="8">
                  <c:v>Nord</c:v>
                </c:pt>
                <c:pt idx="9">
                  <c:v>Alpes-Maritimes</c:v>
                </c:pt>
                <c:pt idx="10">
                  <c:v>Bas-Rhin</c:v>
                </c:pt>
                <c:pt idx="11">
                  <c:v>Hérault</c:v>
                </c:pt>
                <c:pt idx="12">
                  <c:v>Seine-Maritime</c:v>
                </c:pt>
                <c:pt idx="13">
                  <c:v>Vaucluse</c:v>
                </c:pt>
                <c:pt idx="14">
                  <c:v>Var</c:v>
                </c:pt>
                <c:pt idx="15">
                  <c:v>Pas-de-Calais</c:v>
                </c:pt>
              </c:strCache>
            </c:strRef>
          </c:cat>
          <c:val>
            <c:numRef>
              <c:f>'D_Ch2-2'!$B$120:$B$135</c:f>
              <c:numCache>
                <c:formatCode>0.00</c:formatCode>
                <c:ptCount val="16"/>
                <c:pt idx="0">
                  <c:v>2.8718547343692684</c:v>
                </c:pt>
                <c:pt idx="1">
                  <c:v>1.9019634039166766</c:v>
                </c:pt>
                <c:pt idx="2">
                  <c:v>2.5263557756767177</c:v>
                </c:pt>
                <c:pt idx="3">
                  <c:v>2.4270434879839375</c:v>
                </c:pt>
                <c:pt idx="4">
                  <c:v>6.0308121068888374</c:v>
                </c:pt>
                <c:pt idx="5">
                  <c:v>1.2746579631157642</c:v>
                </c:pt>
                <c:pt idx="6">
                  <c:v>2.3699424196202057</c:v>
                </c:pt>
                <c:pt idx="7">
                  <c:v>2.9076789489942416</c:v>
                </c:pt>
                <c:pt idx="8">
                  <c:v>3.0763585433049485</c:v>
                </c:pt>
                <c:pt idx="9">
                  <c:v>1.5936804141771717</c:v>
                </c:pt>
                <c:pt idx="10">
                  <c:v>3.8689599900170819</c:v>
                </c:pt>
                <c:pt idx="11">
                  <c:v>1.787850912299952</c:v>
                </c:pt>
                <c:pt idx="12">
                  <c:v>2.8779348062705719</c:v>
                </c:pt>
                <c:pt idx="13">
                  <c:v>3.9117217376807374</c:v>
                </c:pt>
                <c:pt idx="14">
                  <c:v>0.98344376639004716</c:v>
                </c:pt>
                <c:pt idx="15">
                  <c:v>3.8655417562268273</c:v>
                </c:pt>
              </c:numCache>
            </c:numRef>
          </c:val>
          <c:extLst>
            <c:ext xmlns:c16="http://schemas.microsoft.com/office/drawing/2014/chart" uri="{C3380CC4-5D6E-409C-BE32-E72D297353CC}">
              <c16:uniqueId val="{00000000-A3A5-45B4-B533-BFB1C054639D}"/>
            </c:ext>
          </c:extLst>
        </c:ser>
        <c:ser>
          <c:idx val="1"/>
          <c:order val="1"/>
          <c:tx>
            <c:strRef>
              <c:f>'D_Ch2-2'!$C$119</c:f>
              <c:strCache>
                <c:ptCount val="1"/>
                <c:pt idx="0">
                  <c:v>Industries manufacturières, industries extractives et autres</c:v>
                </c:pt>
              </c:strCache>
            </c:strRef>
          </c:tx>
          <c:spPr>
            <a:solidFill>
              <a:srgbClr val="FFFF89"/>
            </a:solidFill>
          </c:spPr>
          <c:invertIfNegative val="0"/>
          <c:cat>
            <c:strRef>
              <c:f>'D_Ch2-2'!$A$120:$A$135</c:f>
              <c:strCache>
                <c:ptCount val="16"/>
                <c:pt idx="0">
                  <c:v>Rhône</c:v>
                </c:pt>
                <c:pt idx="1">
                  <c:v>Haute-Garonne</c:v>
                </c:pt>
                <c:pt idx="2">
                  <c:v>Loire-Atlantique</c:v>
                </c:pt>
                <c:pt idx="3">
                  <c:v>Bouches-du-Rhône</c:v>
                </c:pt>
                <c:pt idx="4">
                  <c:v>Ille-et-Vilaine</c:v>
                </c:pt>
                <c:pt idx="5">
                  <c:v>Isère</c:v>
                </c:pt>
                <c:pt idx="6">
                  <c:v>Gironde</c:v>
                </c:pt>
                <c:pt idx="7">
                  <c:v>F. Métro</c:v>
                </c:pt>
                <c:pt idx="8">
                  <c:v>Nord</c:v>
                </c:pt>
                <c:pt idx="9">
                  <c:v>Alpes-Maritimes</c:v>
                </c:pt>
                <c:pt idx="10">
                  <c:v>Bas-Rhin</c:v>
                </c:pt>
                <c:pt idx="11">
                  <c:v>Hérault</c:v>
                </c:pt>
                <c:pt idx="12">
                  <c:v>Seine-Maritime</c:v>
                </c:pt>
                <c:pt idx="13">
                  <c:v>Vaucluse</c:v>
                </c:pt>
                <c:pt idx="14">
                  <c:v>Var</c:v>
                </c:pt>
                <c:pt idx="15">
                  <c:v>Pas-de-Calais</c:v>
                </c:pt>
              </c:strCache>
            </c:strRef>
          </c:cat>
          <c:val>
            <c:numRef>
              <c:f>'D_Ch2-2'!$C$120:$C$135</c:f>
              <c:numCache>
                <c:formatCode>0.00</c:formatCode>
                <c:ptCount val="16"/>
                <c:pt idx="0">
                  <c:v>56.88778019121407</c:v>
                </c:pt>
                <c:pt idx="1">
                  <c:v>37.110402229909106</c:v>
                </c:pt>
                <c:pt idx="2">
                  <c:v>33.316722697227668</c:v>
                </c:pt>
                <c:pt idx="3">
                  <c:v>23.594430504075959</c:v>
                </c:pt>
                <c:pt idx="4">
                  <c:v>27.428269751669571</c:v>
                </c:pt>
                <c:pt idx="5">
                  <c:v>42.535547498448707</c:v>
                </c:pt>
                <c:pt idx="6">
                  <c:v>27.042531377502058</c:v>
                </c:pt>
                <c:pt idx="7">
                  <c:v>30.085601695849473</c:v>
                </c:pt>
                <c:pt idx="8">
                  <c:v>33.281248976535835</c:v>
                </c:pt>
                <c:pt idx="9">
                  <c:v>17.010620891431202</c:v>
                </c:pt>
                <c:pt idx="10">
                  <c:v>37.661431398886755</c:v>
                </c:pt>
                <c:pt idx="11">
                  <c:v>17.776346213725237</c:v>
                </c:pt>
                <c:pt idx="12">
                  <c:v>25.728304395907596</c:v>
                </c:pt>
                <c:pt idx="13">
                  <c:v>19.086504340752562</c:v>
                </c:pt>
                <c:pt idx="14">
                  <c:v>24.792149044137663</c:v>
                </c:pt>
                <c:pt idx="15">
                  <c:v>15.235922942185001</c:v>
                </c:pt>
              </c:numCache>
            </c:numRef>
          </c:val>
          <c:extLst>
            <c:ext xmlns:c16="http://schemas.microsoft.com/office/drawing/2014/chart" uri="{C3380CC4-5D6E-409C-BE32-E72D297353CC}">
              <c16:uniqueId val="{00000001-A3A5-45B4-B533-BFB1C054639D}"/>
            </c:ext>
          </c:extLst>
        </c:ser>
        <c:ser>
          <c:idx val="2"/>
          <c:order val="2"/>
          <c:tx>
            <c:strRef>
              <c:f>'D_Ch2-2'!$D$119</c:f>
              <c:strCache>
                <c:ptCount val="1"/>
                <c:pt idx="0">
                  <c:v>Construction</c:v>
                </c:pt>
              </c:strCache>
            </c:strRef>
          </c:tx>
          <c:spPr>
            <a:solidFill>
              <a:srgbClr val="92D050"/>
            </a:solidFill>
          </c:spPr>
          <c:invertIfNegative val="0"/>
          <c:cat>
            <c:strRef>
              <c:f>'D_Ch2-2'!$A$120:$A$135</c:f>
              <c:strCache>
                <c:ptCount val="16"/>
                <c:pt idx="0">
                  <c:v>Rhône</c:v>
                </c:pt>
                <c:pt idx="1">
                  <c:v>Haute-Garonne</c:v>
                </c:pt>
                <c:pt idx="2">
                  <c:v>Loire-Atlantique</c:v>
                </c:pt>
                <c:pt idx="3">
                  <c:v>Bouches-du-Rhône</c:v>
                </c:pt>
                <c:pt idx="4">
                  <c:v>Ille-et-Vilaine</c:v>
                </c:pt>
                <c:pt idx="5">
                  <c:v>Isère</c:v>
                </c:pt>
                <c:pt idx="6">
                  <c:v>Gironde</c:v>
                </c:pt>
                <c:pt idx="7">
                  <c:v>F. Métro</c:v>
                </c:pt>
                <c:pt idx="8">
                  <c:v>Nord</c:v>
                </c:pt>
                <c:pt idx="9">
                  <c:v>Alpes-Maritimes</c:v>
                </c:pt>
                <c:pt idx="10">
                  <c:v>Bas-Rhin</c:v>
                </c:pt>
                <c:pt idx="11">
                  <c:v>Hérault</c:v>
                </c:pt>
                <c:pt idx="12">
                  <c:v>Seine-Maritime</c:v>
                </c:pt>
                <c:pt idx="13">
                  <c:v>Vaucluse</c:v>
                </c:pt>
                <c:pt idx="14">
                  <c:v>Var</c:v>
                </c:pt>
                <c:pt idx="15">
                  <c:v>Pas-de-Calais</c:v>
                </c:pt>
              </c:strCache>
            </c:strRef>
          </c:cat>
          <c:val>
            <c:numRef>
              <c:f>'D_Ch2-2'!$D$120:$D$135</c:f>
              <c:numCache>
                <c:formatCode>0.00</c:formatCode>
                <c:ptCount val="16"/>
                <c:pt idx="0">
                  <c:v>23.196491092707479</c:v>
                </c:pt>
                <c:pt idx="1">
                  <c:v>18.166593974287192</c:v>
                </c:pt>
                <c:pt idx="2">
                  <c:v>14.255400842186107</c:v>
                </c:pt>
                <c:pt idx="3">
                  <c:v>14.149147142714869</c:v>
                </c:pt>
                <c:pt idx="4">
                  <c:v>10.920199323490804</c:v>
                </c:pt>
                <c:pt idx="5">
                  <c:v>8.9859865245067159</c:v>
                </c:pt>
                <c:pt idx="6">
                  <c:v>14.345593486879798</c:v>
                </c:pt>
                <c:pt idx="7">
                  <c:v>10.145058755710471</c:v>
                </c:pt>
                <c:pt idx="8">
                  <c:v>8.7764619591757267</c:v>
                </c:pt>
                <c:pt idx="9">
                  <c:v>7.371837209963922</c:v>
                </c:pt>
                <c:pt idx="10">
                  <c:v>11.89629036300528</c:v>
                </c:pt>
                <c:pt idx="11">
                  <c:v>13.408881842249642</c:v>
                </c:pt>
                <c:pt idx="12">
                  <c:v>10.97798690512233</c:v>
                </c:pt>
                <c:pt idx="13">
                  <c:v>6.5588782584388214</c:v>
                </c:pt>
                <c:pt idx="14">
                  <c:v>4.6736994231298432</c:v>
                </c:pt>
                <c:pt idx="15">
                  <c:v>5.3005756523511671</c:v>
                </c:pt>
              </c:numCache>
            </c:numRef>
          </c:val>
          <c:extLst>
            <c:ext xmlns:c16="http://schemas.microsoft.com/office/drawing/2014/chart" uri="{C3380CC4-5D6E-409C-BE32-E72D297353CC}">
              <c16:uniqueId val="{00000002-A3A5-45B4-B533-BFB1C054639D}"/>
            </c:ext>
          </c:extLst>
        </c:ser>
        <c:ser>
          <c:idx val="3"/>
          <c:order val="3"/>
          <c:tx>
            <c:strRef>
              <c:f>'D_Ch2-2'!$E$119</c:f>
              <c:strCache>
                <c:ptCount val="1"/>
                <c:pt idx="0">
                  <c:v>Commerce interentreprises</c:v>
                </c:pt>
              </c:strCache>
            </c:strRef>
          </c:tx>
          <c:invertIfNegative val="0"/>
          <c:cat>
            <c:strRef>
              <c:f>'D_Ch2-2'!$A$120:$A$135</c:f>
              <c:strCache>
                <c:ptCount val="16"/>
                <c:pt idx="0">
                  <c:v>Rhône</c:v>
                </c:pt>
                <c:pt idx="1">
                  <c:v>Haute-Garonne</c:v>
                </c:pt>
                <c:pt idx="2">
                  <c:v>Loire-Atlantique</c:v>
                </c:pt>
                <c:pt idx="3">
                  <c:v>Bouches-du-Rhône</c:v>
                </c:pt>
                <c:pt idx="4">
                  <c:v>Ille-et-Vilaine</c:v>
                </c:pt>
                <c:pt idx="5">
                  <c:v>Isère</c:v>
                </c:pt>
                <c:pt idx="6">
                  <c:v>Gironde</c:v>
                </c:pt>
                <c:pt idx="7">
                  <c:v>F. Métro</c:v>
                </c:pt>
                <c:pt idx="8">
                  <c:v>Nord</c:v>
                </c:pt>
                <c:pt idx="9">
                  <c:v>Alpes-Maritimes</c:v>
                </c:pt>
                <c:pt idx="10">
                  <c:v>Bas-Rhin</c:v>
                </c:pt>
                <c:pt idx="11">
                  <c:v>Hérault</c:v>
                </c:pt>
                <c:pt idx="12">
                  <c:v>Seine-Maritime</c:v>
                </c:pt>
                <c:pt idx="13">
                  <c:v>Vaucluse</c:v>
                </c:pt>
                <c:pt idx="14">
                  <c:v>Var</c:v>
                </c:pt>
                <c:pt idx="15">
                  <c:v>Pas-de-Calais</c:v>
                </c:pt>
              </c:strCache>
            </c:strRef>
          </c:cat>
          <c:val>
            <c:numRef>
              <c:f>'D_Ch2-2'!$E$120:$E$135</c:f>
              <c:numCache>
                <c:formatCode>0.00</c:formatCode>
                <c:ptCount val="16"/>
                <c:pt idx="0">
                  <c:v>26.121349857409069</c:v>
                </c:pt>
                <c:pt idx="1">
                  <c:v>12.334327456629078</c:v>
                </c:pt>
                <c:pt idx="2">
                  <c:v>14.333334696448629</c:v>
                </c:pt>
                <c:pt idx="3">
                  <c:v>12.440358303979565</c:v>
                </c:pt>
                <c:pt idx="4">
                  <c:v>12.283094714878112</c:v>
                </c:pt>
                <c:pt idx="5">
                  <c:v>8.500067190501257</c:v>
                </c:pt>
                <c:pt idx="6">
                  <c:v>10.527352921936131</c:v>
                </c:pt>
                <c:pt idx="7">
                  <c:v>10.576828705229966</c:v>
                </c:pt>
                <c:pt idx="8">
                  <c:v>10.77432699017262</c:v>
                </c:pt>
                <c:pt idx="9">
                  <c:v>8.76098110039643</c:v>
                </c:pt>
                <c:pt idx="10">
                  <c:v>12.239013196766635</c:v>
                </c:pt>
                <c:pt idx="11">
                  <c:v>9.8842614722868785</c:v>
                </c:pt>
                <c:pt idx="12">
                  <c:v>8.1361164447950003</c:v>
                </c:pt>
                <c:pt idx="13">
                  <c:v>8.3798521708074407</c:v>
                </c:pt>
                <c:pt idx="14">
                  <c:v>4.926584963058712</c:v>
                </c:pt>
                <c:pt idx="15">
                  <c:v>3.1350965748662389</c:v>
                </c:pt>
              </c:numCache>
            </c:numRef>
          </c:val>
          <c:extLst>
            <c:ext xmlns:c16="http://schemas.microsoft.com/office/drawing/2014/chart" uri="{C3380CC4-5D6E-409C-BE32-E72D297353CC}">
              <c16:uniqueId val="{00000003-A3A5-45B4-B533-BFB1C054639D}"/>
            </c:ext>
          </c:extLst>
        </c:ser>
        <c:ser>
          <c:idx val="4"/>
          <c:order val="4"/>
          <c:tx>
            <c:strRef>
              <c:f>'D_Ch2-2'!$F$119</c:f>
              <c:strCache>
                <c:ptCount val="1"/>
                <c:pt idx="0">
                  <c:v>Transports et logistique</c:v>
                </c:pt>
              </c:strCache>
            </c:strRef>
          </c:tx>
          <c:spPr>
            <a:solidFill>
              <a:srgbClr val="FF00FF"/>
            </a:solidFill>
            <a:ln>
              <a:noFill/>
            </a:ln>
          </c:spPr>
          <c:invertIfNegative val="0"/>
          <c:cat>
            <c:strRef>
              <c:f>'D_Ch2-2'!$A$120:$A$135</c:f>
              <c:strCache>
                <c:ptCount val="16"/>
                <c:pt idx="0">
                  <c:v>Rhône</c:v>
                </c:pt>
                <c:pt idx="1">
                  <c:v>Haute-Garonne</c:v>
                </c:pt>
                <c:pt idx="2">
                  <c:v>Loire-Atlantique</c:v>
                </c:pt>
                <c:pt idx="3">
                  <c:v>Bouches-du-Rhône</c:v>
                </c:pt>
                <c:pt idx="4">
                  <c:v>Ille-et-Vilaine</c:v>
                </c:pt>
                <c:pt idx="5">
                  <c:v>Isère</c:v>
                </c:pt>
                <c:pt idx="6">
                  <c:v>Gironde</c:v>
                </c:pt>
                <c:pt idx="7">
                  <c:v>F. Métro</c:v>
                </c:pt>
                <c:pt idx="8">
                  <c:v>Nord</c:v>
                </c:pt>
                <c:pt idx="9">
                  <c:v>Alpes-Maritimes</c:v>
                </c:pt>
                <c:pt idx="10">
                  <c:v>Bas-Rhin</c:v>
                </c:pt>
                <c:pt idx="11">
                  <c:v>Hérault</c:v>
                </c:pt>
                <c:pt idx="12">
                  <c:v>Seine-Maritime</c:v>
                </c:pt>
                <c:pt idx="13">
                  <c:v>Vaucluse</c:v>
                </c:pt>
                <c:pt idx="14">
                  <c:v>Var</c:v>
                </c:pt>
                <c:pt idx="15">
                  <c:v>Pas-de-Calais</c:v>
                </c:pt>
              </c:strCache>
            </c:strRef>
          </c:cat>
          <c:val>
            <c:numRef>
              <c:f>'D_Ch2-2'!$F$120:$F$135</c:f>
              <c:numCache>
                <c:formatCode>0.00</c:formatCode>
                <c:ptCount val="16"/>
                <c:pt idx="0">
                  <c:v>1.2913709208237649</c:v>
                </c:pt>
                <c:pt idx="1">
                  <c:v>1.2574442437854441</c:v>
                </c:pt>
                <c:pt idx="2">
                  <c:v>0.26627400206361296</c:v>
                </c:pt>
                <c:pt idx="3">
                  <c:v>1.5444822196261423</c:v>
                </c:pt>
                <c:pt idx="4">
                  <c:v>1.3628953913873076</c:v>
                </c:pt>
                <c:pt idx="5">
                  <c:v>0.51408857075939673</c:v>
                </c:pt>
                <c:pt idx="6">
                  <c:v>0.60107235280222626</c:v>
                </c:pt>
                <c:pt idx="7">
                  <c:v>0.82655895636844379</c:v>
                </c:pt>
                <c:pt idx="8">
                  <c:v>0.24045101258015691</c:v>
                </c:pt>
                <c:pt idx="9">
                  <c:v>0.57099779545385299</c:v>
                </c:pt>
                <c:pt idx="10">
                  <c:v>0.45696377834847429</c:v>
                </c:pt>
                <c:pt idx="11">
                  <c:v>0.63851818296426865</c:v>
                </c:pt>
                <c:pt idx="12">
                  <c:v>0.56260379671454785</c:v>
                </c:pt>
                <c:pt idx="13">
                  <c:v>0.15174782603071826</c:v>
                </c:pt>
                <c:pt idx="14">
                  <c:v>6.5562917759336481E-2</c:v>
                </c:pt>
                <c:pt idx="15">
                  <c:v>4.5248816544461189E-2</c:v>
                </c:pt>
              </c:numCache>
            </c:numRef>
          </c:val>
          <c:extLst>
            <c:ext xmlns:c16="http://schemas.microsoft.com/office/drawing/2014/chart" uri="{C3380CC4-5D6E-409C-BE32-E72D297353CC}">
              <c16:uniqueId val="{00000004-A3A5-45B4-B533-BFB1C054639D}"/>
            </c:ext>
          </c:extLst>
        </c:ser>
        <c:ser>
          <c:idx val="5"/>
          <c:order val="5"/>
          <c:tx>
            <c:strRef>
              <c:f>'D_Ch2-2'!$G$119</c:f>
              <c:strCache>
                <c:ptCount val="1"/>
                <c:pt idx="0">
                  <c:v>Hôtellerie - Restauration - Loisirs</c:v>
                </c:pt>
              </c:strCache>
            </c:strRef>
          </c:tx>
          <c:spPr>
            <a:solidFill>
              <a:schemeClr val="bg1"/>
            </a:solidFill>
            <a:ln w="3175">
              <a:solidFill>
                <a:schemeClr val="bg1">
                  <a:lumMod val="75000"/>
                </a:schemeClr>
              </a:solidFill>
            </a:ln>
          </c:spPr>
          <c:invertIfNegative val="0"/>
          <c:cat>
            <c:strRef>
              <c:f>'D_Ch2-2'!$A$120:$A$135</c:f>
              <c:strCache>
                <c:ptCount val="16"/>
                <c:pt idx="0">
                  <c:v>Rhône</c:v>
                </c:pt>
                <c:pt idx="1">
                  <c:v>Haute-Garonne</c:v>
                </c:pt>
                <c:pt idx="2">
                  <c:v>Loire-Atlantique</c:v>
                </c:pt>
                <c:pt idx="3">
                  <c:v>Bouches-du-Rhône</c:v>
                </c:pt>
                <c:pt idx="4">
                  <c:v>Ille-et-Vilaine</c:v>
                </c:pt>
                <c:pt idx="5">
                  <c:v>Isère</c:v>
                </c:pt>
                <c:pt idx="6">
                  <c:v>Gironde</c:v>
                </c:pt>
                <c:pt idx="7">
                  <c:v>F. Métro</c:v>
                </c:pt>
                <c:pt idx="8">
                  <c:v>Nord</c:v>
                </c:pt>
                <c:pt idx="9">
                  <c:v>Alpes-Maritimes</c:v>
                </c:pt>
                <c:pt idx="10">
                  <c:v>Bas-Rhin</c:v>
                </c:pt>
                <c:pt idx="11">
                  <c:v>Hérault</c:v>
                </c:pt>
                <c:pt idx="12">
                  <c:v>Seine-Maritime</c:v>
                </c:pt>
                <c:pt idx="13">
                  <c:v>Vaucluse</c:v>
                </c:pt>
                <c:pt idx="14">
                  <c:v>Var</c:v>
                </c:pt>
                <c:pt idx="15">
                  <c:v>Pas-de-Calais</c:v>
                </c:pt>
              </c:strCache>
            </c:strRef>
          </c:cat>
          <c:val>
            <c:numRef>
              <c:f>'D_Ch2-2'!$G$120:$G$135</c:f>
              <c:numCache>
                <c:formatCode>0.00</c:formatCode>
                <c:ptCount val="16"/>
                <c:pt idx="0">
                  <c:v>3.3247982662999918</c:v>
                </c:pt>
                <c:pt idx="1">
                  <c:v>1.1879372755359974</c:v>
                </c:pt>
                <c:pt idx="2">
                  <c:v>2.0587526501015927</c:v>
                </c:pt>
                <c:pt idx="3">
                  <c:v>3.328382655668495</c:v>
                </c:pt>
                <c:pt idx="4">
                  <c:v>1.7206554316264764</c:v>
                </c:pt>
                <c:pt idx="5">
                  <c:v>0.36620007780121405</c:v>
                </c:pt>
                <c:pt idx="6">
                  <c:v>1.2765631873799659</c:v>
                </c:pt>
                <c:pt idx="7">
                  <c:v>1.7962969586990727</c:v>
                </c:pt>
                <c:pt idx="8">
                  <c:v>0.84511458833319841</c:v>
                </c:pt>
                <c:pt idx="9">
                  <c:v>2.5226171261841865</c:v>
                </c:pt>
                <c:pt idx="10">
                  <c:v>0.5788207859080674</c:v>
                </c:pt>
                <c:pt idx="11">
                  <c:v>1.4387943056128185</c:v>
                </c:pt>
                <c:pt idx="12">
                  <c:v>0.43277215131888297</c:v>
                </c:pt>
                <c:pt idx="13">
                  <c:v>1.5511999994251198</c:v>
                </c:pt>
                <c:pt idx="14">
                  <c:v>0.48703881764078522</c:v>
                </c:pt>
                <c:pt idx="15">
                  <c:v>0.86619163099397134</c:v>
                </c:pt>
              </c:numCache>
            </c:numRef>
          </c:val>
          <c:extLst>
            <c:ext xmlns:c16="http://schemas.microsoft.com/office/drawing/2014/chart" uri="{C3380CC4-5D6E-409C-BE32-E72D297353CC}">
              <c16:uniqueId val="{00000005-A3A5-45B4-B533-BFB1C054639D}"/>
            </c:ext>
          </c:extLst>
        </c:ser>
        <c:ser>
          <c:idx val="6"/>
          <c:order val="6"/>
          <c:tx>
            <c:strRef>
              <c:f>'D_Ch2-2'!$H$119</c:f>
              <c:strCache>
                <c:ptCount val="1"/>
                <c:pt idx="0">
                  <c:v>Information et communication</c:v>
                </c:pt>
              </c:strCache>
            </c:strRef>
          </c:tx>
          <c:spPr>
            <a:solidFill>
              <a:srgbClr val="E46C0A"/>
            </a:solidFill>
          </c:spPr>
          <c:invertIfNegative val="0"/>
          <c:cat>
            <c:strRef>
              <c:f>'D_Ch2-2'!$A$120:$A$135</c:f>
              <c:strCache>
                <c:ptCount val="16"/>
                <c:pt idx="0">
                  <c:v>Rhône</c:v>
                </c:pt>
                <c:pt idx="1">
                  <c:v>Haute-Garonne</c:v>
                </c:pt>
                <c:pt idx="2">
                  <c:v>Loire-Atlantique</c:v>
                </c:pt>
                <c:pt idx="3">
                  <c:v>Bouches-du-Rhône</c:v>
                </c:pt>
                <c:pt idx="4">
                  <c:v>Ille-et-Vilaine</c:v>
                </c:pt>
                <c:pt idx="5">
                  <c:v>Isère</c:v>
                </c:pt>
                <c:pt idx="6">
                  <c:v>Gironde</c:v>
                </c:pt>
                <c:pt idx="7">
                  <c:v>F. Métro</c:v>
                </c:pt>
                <c:pt idx="8">
                  <c:v>Nord</c:v>
                </c:pt>
                <c:pt idx="9">
                  <c:v>Alpes-Maritimes</c:v>
                </c:pt>
                <c:pt idx="10">
                  <c:v>Bas-Rhin</c:v>
                </c:pt>
                <c:pt idx="11">
                  <c:v>Hérault</c:v>
                </c:pt>
                <c:pt idx="12">
                  <c:v>Seine-Maritime</c:v>
                </c:pt>
                <c:pt idx="13">
                  <c:v>Vaucluse</c:v>
                </c:pt>
                <c:pt idx="14">
                  <c:v>Var</c:v>
                </c:pt>
                <c:pt idx="15">
                  <c:v>Pas-de-Calais</c:v>
                </c:pt>
              </c:strCache>
            </c:strRef>
          </c:cat>
          <c:val>
            <c:numRef>
              <c:f>'D_Ch2-2'!$H$120:$H$135</c:f>
              <c:numCache>
                <c:formatCode>0.00</c:formatCode>
                <c:ptCount val="16"/>
                <c:pt idx="0">
                  <c:v>13.053447106386491</c:v>
                </c:pt>
                <c:pt idx="1">
                  <c:v>9.6930626631501067</c:v>
                </c:pt>
                <c:pt idx="2">
                  <c:v>7.066002786468558</c:v>
                </c:pt>
                <c:pt idx="3">
                  <c:v>9.8537026717181515</c:v>
                </c:pt>
                <c:pt idx="4">
                  <c:v>6.405608339520346</c:v>
                </c:pt>
                <c:pt idx="5">
                  <c:v>4.8239817941121474</c:v>
                </c:pt>
                <c:pt idx="6">
                  <c:v>5.4325491696125008</c:v>
                </c:pt>
                <c:pt idx="7">
                  <c:v>6.7545342910932655</c:v>
                </c:pt>
                <c:pt idx="8">
                  <c:v>5.7602161690158171</c:v>
                </c:pt>
                <c:pt idx="9">
                  <c:v>5.9400815437512762</c:v>
                </c:pt>
                <c:pt idx="10">
                  <c:v>4.7371911688791837</c:v>
                </c:pt>
                <c:pt idx="11">
                  <c:v>3.5757018245999039</c:v>
                </c:pt>
                <c:pt idx="12">
                  <c:v>6.0588101184643621</c:v>
                </c:pt>
                <c:pt idx="13">
                  <c:v>4.400686954890829</c:v>
                </c:pt>
                <c:pt idx="14">
                  <c:v>1.1239357330171968</c:v>
                </c:pt>
                <c:pt idx="15">
                  <c:v>2.2947614104691025</c:v>
                </c:pt>
              </c:numCache>
            </c:numRef>
          </c:val>
          <c:extLst>
            <c:ext xmlns:c16="http://schemas.microsoft.com/office/drawing/2014/chart" uri="{C3380CC4-5D6E-409C-BE32-E72D297353CC}">
              <c16:uniqueId val="{00000006-A3A5-45B4-B533-BFB1C054639D}"/>
            </c:ext>
          </c:extLst>
        </c:ser>
        <c:ser>
          <c:idx val="7"/>
          <c:order val="7"/>
          <c:tx>
            <c:strRef>
              <c:f>'D_Ch2-2'!$I$119</c:f>
              <c:strCache>
                <c:ptCount val="1"/>
                <c:pt idx="0">
                  <c:v>Activités financières et d'assurance</c:v>
                </c:pt>
              </c:strCache>
            </c:strRef>
          </c:tx>
          <c:spPr>
            <a:solidFill>
              <a:srgbClr val="A41045"/>
            </a:solidFill>
          </c:spPr>
          <c:invertIfNegative val="0"/>
          <c:cat>
            <c:strRef>
              <c:f>'D_Ch2-2'!$A$120:$A$135</c:f>
              <c:strCache>
                <c:ptCount val="16"/>
                <c:pt idx="0">
                  <c:v>Rhône</c:v>
                </c:pt>
                <c:pt idx="1">
                  <c:v>Haute-Garonne</c:v>
                </c:pt>
                <c:pt idx="2">
                  <c:v>Loire-Atlantique</c:v>
                </c:pt>
                <c:pt idx="3">
                  <c:v>Bouches-du-Rhône</c:v>
                </c:pt>
                <c:pt idx="4">
                  <c:v>Ille-et-Vilaine</c:v>
                </c:pt>
                <c:pt idx="5">
                  <c:v>Isère</c:v>
                </c:pt>
                <c:pt idx="6">
                  <c:v>Gironde</c:v>
                </c:pt>
                <c:pt idx="7">
                  <c:v>F. Métro</c:v>
                </c:pt>
                <c:pt idx="8">
                  <c:v>Nord</c:v>
                </c:pt>
                <c:pt idx="9">
                  <c:v>Alpes-Maritimes</c:v>
                </c:pt>
                <c:pt idx="10">
                  <c:v>Bas-Rhin</c:v>
                </c:pt>
                <c:pt idx="11">
                  <c:v>Hérault</c:v>
                </c:pt>
                <c:pt idx="12">
                  <c:v>Seine-Maritime</c:v>
                </c:pt>
                <c:pt idx="13">
                  <c:v>Vaucluse</c:v>
                </c:pt>
                <c:pt idx="14">
                  <c:v>Var</c:v>
                </c:pt>
                <c:pt idx="15">
                  <c:v>Pas-de-Calais</c:v>
                </c:pt>
              </c:strCache>
            </c:strRef>
          </c:cat>
          <c:val>
            <c:numRef>
              <c:f>'D_Ch2-2'!$I$120:$I$135</c:f>
              <c:numCache>
                <c:formatCode>0.00</c:formatCode>
                <c:ptCount val="16"/>
                <c:pt idx="0">
                  <c:v>20.888406499145599</c:v>
                </c:pt>
                <c:pt idx="1">
                  <c:v>14.91240409715401</c:v>
                </c:pt>
                <c:pt idx="2">
                  <c:v>15.26204645974367</c:v>
                </c:pt>
                <c:pt idx="3">
                  <c:v>11.177544574254846</c:v>
                </c:pt>
                <c:pt idx="4">
                  <c:v>13.126386238299011</c:v>
                </c:pt>
                <c:pt idx="5">
                  <c:v>5.6972281334842725</c:v>
                </c:pt>
                <c:pt idx="6">
                  <c:v>8.9931872976409259</c:v>
                </c:pt>
                <c:pt idx="7">
                  <c:v>11.266488398353864</c:v>
                </c:pt>
                <c:pt idx="8">
                  <c:v>9.6816893006539644</c:v>
                </c:pt>
                <c:pt idx="9">
                  <c:v>5.8463356370349722</c:v>
                </c:pt>
                <c:pt idx="10">
                  <c:v>9.0707310002172132</c:v>
                </c:pt>
                <c:pt idx="11">
                  <c:v>5.7551772224512741</c:v>
                </c:pt>
                <c:pt idx="12">
                  <c:v>6.6142010459902627</c:v>
                </c:pt>
                <c:pt idx="13">
                  <c:v>4.9739565198957649</c:v>
                </c:pt>
                <c:pt idx="14">
                  <c:v>2.828571594759945</c:v>
                </c:pt>
                <c:pt idx="15">
                  <c:v>3.5940488569600593</c:v>
                </c:pt>
              </c:numCache>
            </c:numRef>
          </c:val>
          <c:extLst>
            <c:ext xmlns:c16="http://schemas.microsoft.com/office/drawing/2014/chart" uri="{C3380CC4-5D6E-409C-BE32-E72D297353CC}">
              <c16:uniqueId val="{00000007-A3A5-45B4-B533-BFB1C054639D}"/>
            </c:ext>
          </c:extLst>
        </c:ser>
        <c:ser>
          <c:idx val="8"/>
          <c:order val="8"/>
          <c:tx>
            <c:strRef>
              <c:f>'D_Ch2-2'!$J$119</c:f>
              <c:strCache>
                <c:ptCount val="1"/>
                <c:pt idx="0">
                  <c:v>Immobilier</c:v>
                </c:pt>
              </c:strCache>
            </c:strRef>
          </c:tx>
          <c:spPr>
            <a:solidFill>
              <a:srgbClr val="00B050"/>
            </a:solidFill>
          </c:spPr>
          <c:invertIfNegative val="0"/>
          <c:cat>
            <c:strRef>
              <c:f>'D_Ch2-2'!$A$120:$A$135</c:f>
              <c:strCache>
                <c:ptCount val="16"/>
                <c:pt idx="0">
                  <c:v>Rhône</c:v>
                </c:pt>
                <c:pt idx="1">
                  <c:v>Haute-Garonne</c:v>
                </c:pt>
                <c:pt idx="2">
                  <c:v>Loire-Atlantique</c:v>
                </c:pt>
                <c:pt idx="3">
                  <c:v>Bouches-du-Rhône</c:v>
                </c:pt>
                <c:pt idx="4">
                  <c:v>Ille-et-Vilaine</c:v>
                </c:pt>
                <c:pt idx="5">
                  <c:v>Isère</c:v>
                </c:pt>
                <c:pt idx="6">
                  <c:v>Gironde</c:v>
                </c:pt>
                <c:pt idx="7">
                  <c:v>F. Métro</c:v>
                </c:pt>
                <c:pt idx="8">
                  <c:v>Nord</c:v>
                </c:pt>
                <c:pt idx="9">
                  <c:v>Alpes-Maritimes</c:v>
                </c:pt>
                <c:pt idx="10">
                  <c:v>Bas-Rhin</c:v>
                </c:pt>
                <c:pt idx="11">
                  <c:v>Hérault</c:v>
                </c:pt>
                <c:pt idx="12">
                  <c:v>Seine-Maritime</c:v>
                </c:pt>
                <c:pt idx="13">
                  <c:v>Vaucluse</c:v>
                </c:pt>
                <c:pt idx="14">
                  <c:v>Var</c:v>
                </c:pt>
                <c:pt idx="15">
                  <c:v>Pas-de-Calais</c:v>
                </c:pt>
              </c:strCache>
            </c:strRef>
          </c:cat>
          <c:val>
            <c:numRef>
              <c:f>'D_Ch2-2'!$J$120:$J$135</c:f>
              <c:numCache>
                <c:formatCode>0.00</c:formatCode>
                <c:ptCount val="16"/>
                <c:pt idx="0">
                  <c:v>8.3168142139620098</c:v>
                </c:pt>
                <c:pt idx="1">
                  <c:v>5.661658504682201</c:v>
                </c:pt>
                <c:pt idx="2">
                  <c:v>4.9487997456700743</c:v>
                </c:pt>
                <c:pt idx="3">
                  <c:v>5.055949393730562</c:v>
                </c:pt>
                <c:pt idx="4">
                  <c:v>5.0086405633483571</c:v>
                </c:pt>
                <c:pt idx="5">
                  <c:v>2.1197350657339507</c:v>
                </c:pt>
                <c:pt idx="6">
                  <c:v>5.6901516065277411</c:v>
                </c:pt>
                <c:pt idx="7">
                  <c:v>3.4354597987300939</c:v>
                </c:pt>
                <c:pt idx="8">
                  <c:v>2.9808853471334156</c:v>
                </c:pt>
                <c:pt idx="9">
                  <c:v>4.0055069233329981</c:v>
                </c:pt>
                <c:pt idx="10">
                  <c:v>3.3358355819438619</c:v>
                </c:pt>
                <c:pt idx="11">
                  <c:v>6.9981592852883843</c:v>
                </c:pt>
                <c:pt idx="12">
                  <c:v>2.5245042160268176</c:v>
                </c:pt>
                <c:pt idx="13">
                  <c:v>2.7145999989939598</c:v>
                </c:pt>
                <c:pt idx="14">
                  <c:v>2.0980133682987674</c:v>
                </c:pt>
                <c:pt idx="15">
                  <c:v>0.84033516439713629</c:v>
                </c:pt>
              </c:numCache>
            </c:numRef>
          </c:val>
          <c:extLst>
            <c:ext xmlns:c16="http://schemas.microsoft.com/office/drawing/2014/chart" uri="{C3380CC4-5D6E-409C-BE32-E72D297353CC}">
              <c16:uniqueId val="{00000008-A3A5-45B4-B533-BFB1C054639D}"/>
            </c:ext>
          </c:extLst>
        </c:ser>
        <c:ser>
          <c:idx val="9"/>
          <c:order val="9"/>
          <c:tx>
            <c:strRef>
              <c:f>'D_Ch2-2'!$K$119</c:f>
              <c:strCache>
                <c:ptCount val="1"/>
                <c:pt idx="0">
                  <c:v>Activités scientifiques ; services administratifs, de soutien</c:v>
                </c:pt>
              </c:strCache>
            </c:strRef>
          </c:tx>
          <c:spPr>
            <a:solidFill>
              <a:schemeClr val="bg2">
                <a:lumMod val="75000"/>
              </a:schemeClr>
            </a:solidFill>
          </c:spPr>
          <c:invertIfNegative val="0"/>
          <c:cat>
            <c:strRef>
              <c:f>'D_Ch2-2'!$A$120:$A$135</c:f>
              <c:strCache>
                <c:ptCount val="16"/>
                <c:pt idx="0">
                  <c:v>Rhône</c:v>
                </c:pt>
                <c:pt idx="1">
                  <c:v>Haute-Garonne</c:v>
                </c:pt>
                <c:pt idx="2">
                  <c:v>Loire-Atlantique</c:v>
                </c:pt>
                <c:pt idx="3">
                  <c:v>Bouches-du-Rhône</c:v>
                </c:pt>
                <c:pt idx="4">
                  <c:v>Ille-et-Vilaine</c:v>
                </c:pt>
                <c:pt idx="5">
                  <c:v>Isère</c:v>
                </c:pt>
                <c:pt idx="6">
                  <c:v>Gironde</c:v>
                </c:pt>
                <c:pt idx="7">
                  <c:v>F. Métro</c:v>
                </c:pt>
                <c:pt idx="8">
                  <c:v>Nord</c:v>
                </c:pt>
                <c:pt idx="9">
                  <c:v>Alpes-Maritimes</c:v>
                </c:pt>
                <c:pt idx="10">
                  <c:v>Bas-Rhin</c:v>
                </c:pt>
                <c:pt idx="11">
                  <c:v>Hérault</c:v>
                </c:pt>
                <c:pt idx="12">
                  <c:v>Seine-Maritime</c:v>
                </c:pt>
                <c:pt idx="13">
                  <c:v>Vaucluse</c:v>
                </c:pt>
                <c:pt idx="14">
                  <c:v>Var</c:v>
                </c:pt>
                <c:pt idx="15">
                  <c:v>Pas-de-Calais</c:v>
                </c:pt>
              </c:strCache>
            </c:strRef>
          </c:cat>
          <c:val>
            <c:numRef>
              <c:f>'D_Ch2-2'!$K$120:$K$135</c:f>
              <c:numCache>
                <c:formatCode>0.00</c:formatCode>
                <c:ptCount val="16"/>
                <c:pt idx="0">
                  <c:v>369.62119624831854</c:v>
                </c:pt>
                <c:pt idx="1">
                  <c:v>275.29814479017199</c:v>
                </c:pt>
                <c:pt idx="2">
                  <c:v>210.83705373153975</c:v>
                </c:pt>
                <c:pt idx="3">
                  <c:v>197.52002854337366</c:v>
                </c:pt>
                <c:pt idx="4">
                  <c:v>145.27613062569085</c:v>
                </c:pt>
                <c:pt idx="5">
                  <c:v>141.06449535454075</c:v>
                </c:pt>
                <c:pt idx="6">
                  <c:v>137.9604162146062</c:v>
                </c:pt>
                <c:pt idx="7">
                  <c:v>130.81624705205857</c:v>
                </c:pt>
                <c:pt idx="8">
                  <c:v>134.82229717141504</c:v>
                </c:pt>
                <c:pt idx="9">
                  <c:v>150.02754016671088</c:v>
                </c:pt>
                <c:pt idx="10">
                  <c:v>119.93775969052955</c:v>
                </c:pt>
                <c:pt idx="11">
                  <c:v>123.19995500901241</c:v>
                </c:pt>
                <c:pt idx="12">
                  <c:v>92.468982998468007</c:v>
                </c:pt>
                <c:pt idx="13">
                  <c:v>71.10228693017099</c:v>
                </c:pt>
                <c:pt idx="14">
                  <c:v>60.992245778399877</c:v>
                </c:pt>
                <c:pt idx="15">
                  <c:v>29.87068303599359</c:v>
                </c:pt>
              </c:numCache>
            </c:numRef>
          </c:val>
          <c:extLst>
            <c:ext xmlns:c16="http://schemas.microsoft.com/office/drawing/2014/chart" uri="{C3380CC4-5D6E-409C-BE32-E72D297353CC}">
              <c16:uniqueId val="{00000009-A3A5-45B4-B533-BFB1C054639D}"/>
            </c:ext>
          </c:extLst>
        </c:ser>
        <c:ser>
          <c:idx val="10"/>
          <c:order val="10"/>
          <c:tx>
            <c:strRef>
              <c:f>'D_Ch2-2'!$L$119</c:f>
              <c:strCache>
                <c:ptCount val="1"/>
                <c:pt idx="0">
                  <c:v>Admin. Pub., enseignement, santé action soc.</c:v>
                </c:pt>
              </c:strCache>
            </c:strRef>
          </c:tx>
          <c:spPr>
            <a:solidFill>
              <a:srgbClr val="3DA5C1"/>
            </a:solidFill>
          </c:spPr>
          <c:invertIfNegative val="0"/>
          <c:cat>
            <c:strRef>
              <c:f>'D_Ch2-2'!$A$120:$A$135</c:f>
              <c:strCache>
                <c:ptCount val="16"/>
                <c:pt idx="0">
                  <c:v>Rhône</c:v>
                </c:pt>
                <c:pt idx="1">
                  <c:v>Haute-Garonne</c:v>
                </c:pt>
                <c:pt idx="2">
                  <c:v>Loire-Atlantique</c:v>
                </c:pt>
                <c:pt idx="3">
                  <c:v>Bouches-du-Rhône</c:v>
                </c:pt>
                <c:pt idx="4">
                  <c:v>Ille-et-Vilaine</c:v>
                </c:pt>
                <c:pt idx="5">
                  <c:v>Isère</c:v>
                </c:pt>
                <c:pt idx="6">
                  <c:v>Gironde</c:v>
                </c:pt>
                <c:pt idx="7">
                  <c:v>F. Métro</c:v>
                </c:pt>
                <c:pt idx="8">
                  <c:v>Nord</c:v>
                </c:pt>
                <c:pt idx="9">
                  <c:v>Alpes-Maritimes</c:v>
                </c:pt>
                <c:pt idx="10">
                  <c:v>Bas-Rhin</c:v>
                </c:pt>
                <c:pt idx="11">
                  <c:v>Hérault</c:v>
                </c:pt>
                <c:pt idx="12">
                  <c:v>Seine-Maritime</c:v>
                </c:pt>
                <c:pt idx="13">
                  <c:v>Vaucluse</c:v>
                </c:pt>
                <c:pt idx="14">
                  <c:v>Var</c:v>
                </c:pt>
                <c:pt idx="15">
                  <c:v>Pas-de-Calais</c:v>
                </c:pt>
              </c:strCache>
            </c:strRef>
          </c:cat>
          <c:val>
            <c:numRef>
              <c:f>'D_Ch2-2'!$L$120:$L$135</c:f>
              <c:numCache>
                <c:formatCode>0.00</c:formatCode>
                <c:ptCount val="16"/>
                <c:pt idx="0">
                  <c:v>18.917620280425748</c:v>
                </c:pt>
                <c:pt idx="1">
                  <c:v>10.944188091640145</c:v>
                </c:pt>
                <c:pt idx="2">
                  <c:v>10.248301835521493</c:v>
                </c:pt>
                <c:pt idx="3">
                  <c:v>8.7551955611025978</c:v>
                </c:pt>
                <c:pt idx="4">
                  <c:v>11.65275559636148</c:v>
                </c:pt>
                <c:pt idx="5">
                  <c:v>9.6550058974127779</c:v>
                </c:pt>
                <c:pt idx="6">
                  <c:v>9.5999841490412692</c:v>
                </c:pt>
                <c:pt idx="7">
                  <c:v>10.553384183084111</c:v>
                </c:pt>
                <c:pt idx="8">
                  <c:v>7.4363011684716165</c:v>
                </c:pt>
                <c:pt idx="9">
                  <c:v>8.7354140349283469</c:v>
                </c:pt>
                <c:pt idx="10">
                  <c:v>8.362437143777079</c:v>
                </c:pt>
                <c:pt idx="11">
                  <c:v>6.8619420729226732</c:v>
                </c:pt>
                <c:pt idx="12">
                  <c:v>7.5879383864577479</c:v>
                </c:pt>
                <c:pt idx="13">
                  <c:v>7.1490086930027266</c:v>
                </c:pt>
                <c:pt idx="14">
                  <c:v>5.5447496162181702</c:v>
                </c:pt>
                <c:pt idx="15">
                  <c:v>4.7446616205192162</c:v>
                </c:pt>
              </c:numCache>
            </c:numRef>
          </c:val>
          <c:extLst>
            <c:ext xmlns:c16="http://schemas.microsoft.com/office/drawing/2014/chart" uri="{C3380CC4-5D6E-409C-BE32-E72D297353CC}">
              <c16:uniqueId val="{0000000A-A3A5-45B4-B533-BFB1C054639D}"/>
            </c:ext>
          </c:extLst>
        </c:ser>
        <c:dLbls>
          <c:showLegendKey val="0"/>
          <c:showVal val="0"/>
          <c:showCatName val="0"/>
          <c:showSerName val="0"/>
          <c:showPercent val="0"/>
          <c:showBubbleSize val="0"/>
        </c:dLbls>
        <c:gapWidth val="150"/>
        <c:overlap val="100"/>
        <c:axId val="338945152"/>
        <c:axId val="338946688"/>
      </c:barChart>
      <c:catAx>
        <c:axId val="338945152"/>
        <c:scaling>
          <c:orientation val="minMax"/>
        </c:scaling>
        <c:delete val="0"/>
        <c:axPos val="b"/>
        <c:numFmt formatCode="General" sourceLinked="0"/>
        <c:majorTickMark val="out"/>
        <c:minorTickMark val="none"/>
        <c:tickLblPos val="nextTo"/>
        <c:txPr>
          <a:bodyPr/>
          <a:lstStyle/>
          <a:p>
            <a:pPr>
              <a:defRPr sz="700"/>
            </a:pPr>
            <a:endParaRPr lang="fr-FR"/>
          </a:p>
        </c:txPr>
        <c:crossAx val="338946688"/>
        <c:crosses val="autoZero"/>
        <c:auto val="1"/>
        <c:lblAlgn val="ctr"/>
        <c:lblOffset val="100"/>
        <c:noMultiLvlLbl val="0"/>
      </c:catAx>
      <c:valAx>
        <c:axId val="338946688"/>
        <c:scaling>
          <c:orientation val="minMax"/>
        </c:scaling>
        <c:delete val="0"/>
        <c:axPos val="l"/>
        <c:majorGridlines/>
        <c:numFmt formatCode="0%" sourceLinked="0"/>
        <c:majorTickMark val="out"/>
        <c:minorTickMark val="none"/>
        <c:tickLblPos val="nextTo"/>
        <c:txPr>
          <a:bodyPr/>
          <a:lstStyle/>
          <a:p>
            <a:pPr>
              <a:defRPr sz="800"/>
            </a:pPr>
            <a:endParaRPr lang="fr-FR"/>
          </a:p>
        </c:txPr>
        <c:crossAx val="338945152"/>
        <c:crosses val="autoZero"/>
        <c:crossBetween val="between"/>
      </c:valAx>
    </c:plotArea>
    <c:legend>
      <c:legendPos val="r"/>
      <c:layout>
        <c:manualLayout>
          <c:xMode val="edge"/>
          <c:yMode val="edge"/>
          <c:x val="0.72265735537249798"/>
          <c:y val="1.7418172148224081E-2"/>
          <c:w val="0.27347506385007847"/>
          <c:h val="0.89165677625065398"/>
        </c:manualLayout>
      </c:layout>
      <c:overlay val="0"/>
      <c:txPr>
        <a:bodyPr/>
        <a:lstStyle/>
        <a:p>
          <a:pPr>
            <a:defRPr sz="8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852959391312045"/>
          <c:y val="3.8033490481835026E-2"/>
          <c:w val="0.69274646848919152"/>
          <c:h val="0.89877631693047899"/>
        </c:manualLayout>
      </c:layout>
      <c:barChart>
        <c:barDir val="col"/>
        <c:grouping val="percentStacked"/>
        <c:varyColors val="0"/>
        <c:ser>
          <c:idx val="0"/>
          <c:order val="0"/>
          <c:tx>
            <c:strRef>
              <c:f>'Population active'!$A$28:$B$28</c:f>
              <c:strCache>
                <c:ptCount val="2"/>
                <c:pt idx="0">
                  <c:v>Agriculteurs</c:v>
                </c:pt>
              </c:strCache>
            </c:strRef>
          </c:tx>
          <c:spPr>
            <a:solidFill>
              <a:schemeClr val="accent5">
                <a:lumMod val="75000"/>
              </a:schemeClr>
            </a:solidFill>
          </c:spPr>
          <c:invertIfNegative val="0"/>
          <c:cat>
            <c:strRef>
              <c:f>'Population active'!$C$27:$F$27</c:f>
              <c:strCache>
                <c:ptCount val="3"/>
                <c:pt idx="0">
                  <c:v>Aquitaine</c:v>
                </c:pt>
                <c:pt idx="2">
                  <c:v>Gironde</c:v>
                </c:pt>
              </c:strCache>
            </c:strRef>
          </c:cat>
          <c:val>
            <c:numRef>
              <c:f>'Population active'!$C$28:$F$28</c:f>
              <c:numCache>
                <c:formatCode>0.0%</c:formatCode>
                <c:ptCount val="4"/>
                <c:pt idx="0">
                  <c:v>2.3693566387997186E-2</c:v>
                </c:pt>
                <c:pt idx="2">
                  <c:v>1.1626057649180357E-2</c:v>
                </c:pt>
              </c:numCache>
            </c:numRef>
          </c:val>
          <c:extLst>
            <c:ext xmlns:c16="http://schemas.microsoft.com/office/drawing/2014/chart" uri="{C3380CC4-5D6E-409C-BE32-E72D297353CC}">
              <c16:uniqueId val="{00000000-C473-46C2-AF2C-5CEF9C7CC9CA}"/>
            </c:ext>
          </c:extLst>
        </c:ser>
        <c:ser>
          <c:idx val="1"/>
          <c:order val="1"/>
          <c:tx>
            <c:strRef>
              <c:f>'Population active'!$A$29:$B$29</c:f>
              <c:strCache>
                <c:ptCount val="2"/>
                <c:pt idx="0">
                  <c:v>Artisans</c:v>
                </c:pt>
              </c:strCache>
            </c:strRef>
          </c:tx>
          <c:spPr>
            <a:solidFill>
              <a:srgbClr val="FF9999"/>
            </a:solidFill>
          </c:spPr>
          <c:invertIfNegative val="0"/>
          <c:dLbls>
            <c:dLbl>
              <c:idx val="3"/>
              <c:layout>
                <c:manualLayout>
                  <c:x val="0"/>
                  <c:y val="-7.469661118531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73-46C2-AF2C-5CEF9C7CC9CA}"/>
                </c:ext>
              </c:extLst>
            </c:dLbl>
            <c:numFmt formatCode="0%" sourceLinked="0"/>
            <c:spPr>
              <a:noFill/>
              <a:ln>
                <a:noFill/>
              </a:ln>
              <a:effectLst/>
            </c:spPr>
            <c:txPr>
              <a:bodyPr/>
              <a:lstStyle/>
              <a:p>
                <a:pPr>
                  <a:defRPr sz="9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'Population active'!$C$27:$F$27</c:f>
              <c:strCache>
                <c:ptCount val="3"/>
                <c:pt idx="0">
                  <c:v>Aquitaine</c:v>
                </c:pt>
                <c:pt idx="2">
                  <c:v>Gironde</c:v>
                </c:pt>
              </c:strCache>
            </c:strRef>
          </c:cat>
          <c:val>
            <c:numRef>
              <c:f>'Population active'!$C$29:$F$29</c:f>
              <c:numCache>
                <c:formatCode>0.0%</c:formatCode>
                <c:ptCount val="4"/>
                <c:pt idx="0">
                  <c:v>7.9619250956658907E-2</c:v>
                </c:pt>
                <c:pt idx="2">
                  <c:v>7.2119822126580052E-2</c:v>
                </c:pt>
              </c:numCache>
            </c:numRef>
          </c:val>
          <c:extLst>
            <c:ext xmlns:c16="http://schemas.microsoft.com/office/drawing/2014/chart" uri="{C3380CC4-5D6E-409C-BE32-E72D297353CC}">
              <c16:uniqueId val="{00000002-C473-46C2-AF2C-5CEF9C7CC9CA}"/>
            </c:ext>
          </c:extLst>
        </c:ser>
        <c:ser>
          <c:idx val="2"/>
          <c:order val="2"/>
          <c:tx>
            <c:strRef>
              <c:f>'Population active'!$A$30:$B$30</c:f>
              <c:strCache>
                <c:ptCount val="2"/>
                <c:pt idx="0">
                  <c:v>Cadres / prof. intellectuelles</c:v>
                </c:pt>
              </c:strCache>
            </c:strRef>
          </c:tx>
          <c:spPr>
            <a:solidFill>
              <a:schemeClr val="accent3">
                <a:lumMod val="60000"/>
                <a:lumOff val="40000"/>
              </a:schemeClr>
            </a:solidFill>
          </c:spPr>
          <c:invertIfNegative val="0"/>
          <c:dLbls>
            <c:numFmt formatCode="0%" sourceLinked="0"/>
            <c:spPr>
              <a:noFill/>
              <a:ln>
                <a:noFill/>
              </a:ln>
              <a:effectLst/>
            </c:spPr>
            <c:txPr>
              <a:bodyPr/>
              <a:lstStyle/>
              <a:p>
                <a:pPr>
                  <a:defRPr sz="9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'Population active'!$C$27:$F$27</c:f>
              <c:strCache>
                <c:ptCount val="3"/>
                <c:pt idx="0">
                  <c:v>Aquitaine</c:v>
                </c:pt>
                <c:pt idx="2">
                  <c:v>Gironde</c:v>
                </c:pt>
              </c:strCache>
            </c:strRef>
          </c:cat>
          <c:val>
            <c:numRef>
              <c:f>'Population active'!$C$30:$F$30</c:f>
              <c:numCache>
                <c:formatCode>0.0%</c:formatCode>
                <c:ptCount val="4"/>
                <c:pt idx="0">
                  <c:v>0.14260386236472325</c:v>
                </c:pt>
                <c:pt idx="2">
                  <c:v>0.1777216735497488</c:v>
                </c:pt>
              </c:numCache>
            </c:numRef>
          </c:val>
          <c:extLst>
            <c:ext xmlns:c16="http://schemas.microsoft.com/office/drawing/2014/chart" uri="{C3380CC4-5D6E-409C-BE32-E72D297353CC}">
              <c16:uniqueId val="{00000003-C473-46C2-AF2C-5CEF9C7CC9CA}"/>
            </c:ext>
          </c:extLst>
        </c:ser>
        <c:ser>
          <c:idx val="3"/>
          <c:order val="3"/>
          <c:tx>
            <c:strRef>
              <c:f>'Population active'!$A$31:$B$31</c:f>
              <c:strCache>
                <c:ptCount val="2"/>
                <c:pt idx="0">
                  <c:v>Prof. intermédiaires</c:v>
                </c:pt>
              </c:strCache>
            </c:strRef>
          </c:tx>
          <c:spPr>
            <a:solidFill>
              <a:srgbClr val="FFFF99"/>
            </a:solidFill>
          </c:spPr>
          <c:invertIfNegative val="0"/>
          <c:dLbls>
            <c:numFmt formatCode="0%" sourceLinked="0"/>
            <c:spPr>
              <a:noFill/>
              <a:ln>
                <a:noFill/>
              </a:ln>
              <a:effectLst/>
            </c:spPr>
            <c:txPr>
              <a:bodyPr/>
              <a:lstStyle/>
              <a:p>
                <a:pPr>
                  <a:defRPr sz="9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'Population active'!$C$27:$F$27</c:f>
              <c:strCache>
                <c:ptCount val="3"/>
                <c:pt idx="0">
                  <c:v>Aquitaine</c:v>
                </c:pt>
                <c:pt idx="2">
                  <c:v>Gironde</c:v>
                </c:pt>
              </c:strCache>
            </c:strRef>
          </c:cat>
          <c:val>
            <c:numRef>
              <c:f>'Population active'!$C$31:$F$31</c:f>
              <c:numCache>
                <c:formatCode>0.0%</c:formatCode>
                <c:ptCount val="4"/>
                <c:pt idx="0">
                  <c:v>0.25520543131790085</c:v>
                </c:pt>
                <c:pt idx="2">
                  <c:v>0.26806549027784415</c:v>
                </c:pt>
              </c:numCache>
            </c:numRef>
          </c:val>
          <c:extLst>
            <c:ext xmlns:c16="http://schemas.microsoft.com/office/drawing/2014/chart" uri="{C3380CC4-5D6E-409C-BE32-E72D297353CC}">
              <c16:uniqueId val="{00000004-C473-46C2-AF2C-5CEF9C7CC9CA}"/>
            </c:ext>
          </c:extLst>
        </c:ser>
        <c:ser>
          <c:idx val="4"/>
          <c:order val="4"/>
          <c:tx>
            <c:strRef>
              <c:f>'Population active'!$A$32:$B$32</c:f>
              <c:strCache>
                <c:ptCount val="2"/>
                <c:pt idx="0">
                  <c:v>Employés</c:v>
                </c:pt>
              </c:strCache>
            </c:strRef>
          </c:tx>
          <c:invertIfNegative val="0"/>
          <c:dLbls>
            <c:numFmt formatCode="0%" sourceLinked="0"/>
            <c:spPr>
              <a:noFill/>
              <a:ln>
                <a:noFill/>
              </a:ln>
              <a:effectLst/>
            </c:spPr>
            <c:txPr>
              <a:bodyPr/>
              <a:lstStyle/>
              <a:p>
                <a:pPr algn="ctr">
                  <a:defRPr lang="fr-FR" sz="9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'Population active'!$C$27:$F$27</c:f>
              <c:strCache>
                <c:ptCount val="3"/>
                <c:pt idx="0">
                  <c:v>Aquitaine</c:v>
                </c:pt>
                <c:pt idx="2">
                  <c:v>Gironde</c:v>
                </c:pt>
              </c:strCache>
            </c:strRef>
          </c:cat>
          <c:val>
            <c:numRef>
              <c:f>'Population active'!$C$32:$F$32</c:f>
              <c:numCache>
                <c:formatCode>0.0%</c:formatCode>
                <c:ptCount val="4"/>
                <c:pt idx="0">
                  <c:v>0.28899178548204785</c:v>
                </c:pt>
                <c:pt idx="2">
                  <c:v>0.28036945910425648</c:v>
                </c:pt>
              </c:numCache>
            </c:numRef>
          </c:val>
          <c:extLst>
            <c:ext xmlns:c16="http://schemas.microsoft.com/office/drawing/2014/chart" uri="{C3380CC4-5D6E-409C-BE32-E72D297353CC}">
              <c16:uniqueId val="{00000005-C473-46C2-AF2C-5CEF9C7CC9CA}"/>
            </c:ext>
          </c:extLst>
        </c:ser>
        <c:ser>
          <c:idx val="5"/>
          <c:order val="5"/>
          <c:tx>
            <c:strRef>
              <c:f>'Population active'!$A$33:$B$33</c:f>
              <c:strCache>
                <c:ptCount val="2"/>
                <c:pt idx="0">
                  <c:v>Ouvriers</c:v>
                </c:pt>
              </c:strCache>
            </c:strRef>
          </c:tx>
          <c:invertIfNegative val="0"/>
          <c:dLbls>
            <c:numFmt formatCode="0%" sourceLinked="0"/>
            <c:spPr>
              <a:noFill/>
              <a:ln>
                <a:noFill/>
              </a:ln>
              <a:effectLst/>
            </c:spPr>
            <c:txPr>
              <a:bodyPr/>
              <a:lstStyle/>
              <a:p>
                <a:pPr algn="ctr">
                  <a:defRPr lang="fr-FR" sz="9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'Population active'!$C$27:$F$27</c:f>
              <c:strCache>
                <c:ptCount val="3"/>
                <c:pt idx="0">
                  <c:v>Aquitaine</c:v>
                </c:pt>
                <c:pt idx="2">
                  <c:v>Gironde</c:v>
                </c:pt>
              </c:strCache>
            </c:strRef>
          </c:cat>
          <c:val>
            <c:numRef>
              <c:f>'Population active'!$C$33:$F$33</c:f>
              <c:numCache>
                <c:formatCode>0.0%</c:formatCode>
                <c:ptCount val="4"/>
                <c:pt idx="0">
                  <c:v>0.21069018545795709</c:v>
                </c:pt>
                <c:pt idx="2">
                  <c:v>0.18989780724191296</c:v>
                </c:pt>
              </c:numCache>
            </c:numRef>
          </c:val>
          <c:extLst>
            <c:ext xmlns:c16="http://schemas.microsoft.com/office/drawing/2014/chart" uri="{C3380CC4-5D6E-409C-BE32-E72D297353CC}">
              <c16:uniqueId val="{00000006-C473-46C2-AF2C-5CEF9C7CC9CA}"/>
            </c:ext>
          </c:extLst>
        </c:ser>
        <c:dLbls>
          <c:showLegendKey val="0"/>
          <c:showVal val="0"/>
          <c:showCatName val="0"/>
          <c:showSerName val="0"/>
          <c:showPercent val="0"/>
          <c:showBubbleSize val="0"/>
        </c:dLbls>
        <c:gapWidth val="195"/>
        <c:overlap val="100"/>
        <c:serLines>
          <c:spPr>
            <a:ln>
              <a:solidFill>
                <a:schemeClr val="bg1">
                  <a:lumMod val="75000"/>
                </a:schemeClr>
              </a:solidFill>
              <a:prstDash val="dashDot"/>
            </a:ln>
          </c:spPr>
        </c:serLines>
        <c:axId val="332832768"/>
        <c:axId val="332834304"/>
      </c:barChart>
      <c:catAx>
        <c:axId val="332832768"/>
        <c:scaling>
          <c:orientation val="minMax"/>
        </c:scaling>
        <c:delete val="1"/>
        <c:axPos val="b"/>
        <c:numFmt formatCode="General" sourceLinked="0"/>
        <c:majorTickMark val="out"/>
        <c:minorTickMark val="none"/>
        <c:tickLblPos val="nextTo"/>
        <c:crossAx val="332834304"/>
        <c:crosses val="autoZero"/>
        <c:auto val="1"/>
        <c:lblAlgn val="ctr"/>
        <c:lblOffset val="100"/>
        <c:noMultiLvlLbl val="0"/>
      </c:catAx>
      <c:valAx>
        <c:axId val="332834304"/>
        <c:scaling>
          <c:orientation val="minMax"/>
        </c:scaling>
        <c:delete val="1"/>
        <c:axPos val="l"/>
        <c:majorGridlines>
          <c:spPr>
            <a:ln>
              <a:noFill/>
            </a:ln>
          </c:spPr>
        </c:majorGridlines>
        <c:numFmt formatCode="0%" sourceLinked="1"/>
        <c:majorTickMark val="out"/>
        <c:minorTickMark val="none"/>
        <c:tickLblPos val="nextTo"/>
        <c:crossAx val="332832768"/>
        <c:crosses val="autoZero"/>
        <c:crossBetween val="between"/>
      </c:valAx>
    </c:plotArea>
    <c:legend>
      <c:legendPos val="l"/>
      <c:layout>
        <c:manualLayout>
          <c:xMode val="edge"/>
          <c:yMode val="edge"/>
          <c:x val="1.2779552715654952E-2"/>
          <c:y val="2.3353164048253446E-2"/>
          <c:w val="0.29180296283189322"/>
          <c:h val="0.92294837973933808"/>
        </c:manualLayout>
      </c:layout>
      <c:overlay val="0"/>
      <c:txPr>
        <a:bodyPr/>
        <a:lstStyle/>
        <a:p>
          <a:pPr>
            <a:defRPr sz="9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874829670681409"/>
          <c:y val="3.0651340996168581E-2"/>
          <c:w val="0.81125170329318597"/>
          <c:h val="0.88505747126436785"/>
        </c:manualLayout>
      </c:layout>
      <c:barChart>
        <c:barDir val="col"/>
        <c:grouping val="percentStacked"/>
        <c:varyColors val="0"/>
        <c:ser>
          <c:idx val="2"/>
          <c:order val="0"/>
          <c:tx>
            <c:strRef>
              <c:f>'Population active'!$A$44</c:f>
              <c:strCache>
                <c:ptCount val="1"/>
                <c:pt idx="0">
                  <c:v>Sans diplôme</c:v>
                </c:pt>
              </c:strCache>
            </c:strRef>
          </c:tx>
          <c:spPr>
            <a:solidFill>
              <a:srgbClr val="92D050"/>
            </a:solidFill>
          </c:spPr>
          <c:invertIfNegative val="0"/>
          <c:dLbls>
            <c:numFmt formatCode="0%" sourceLinked="0"/>
            <c:spPr>
              <a:noFill/>
              <a:ln>
                <a:noFill/>
              </a:ln>
              <a:effectLst/>
            </c:spPr>
            <c:txPr>
              <a:bodyPr/>
              <a:lstStyle/>
              <a:p>
                <a:pPr>
                  <a:defRPr sz="800" b="1">
                    <a:latin typeface="Avenir LT Std 35 Light"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'Population active'!$B$44:$F$44</c:f>
              <c:numCache>
                <c:formatCode>0.0%</c:formatCode>
                <c:ptCount val="5"/>
                <c:pt idx="1">
                  <c:v>0.29668827223564986</c:v>
                </c:pt>
                <c:pt idx="3">
                  <c:v>0.27479661586850368</c:v>
                </c:pt>
              </c:numCache>
            </c:numRef>
          </c:val>
          <c:extLst>
            <c:ext xmlns:c16="http://schemas.microsoft.com/office/drawing/2014/chart" uri="{C3380CC4-5D6E-409C-BE32-E72D297353CC}">
              <c16:uniqueId val="{00000000-FC7C-41D0-BEDB-E305AC1B2A0B}"/>
            </c:ext>
          </c:extLst>
        </c:ser>
        <c:ser>
          <c:idx val="3"/>
          <c:order val="1"/>
          <c:tx>
            <c:strRef>
              <c:f>'Population active'!$A$43</c:f>
              <c:strCache>
                <c:ptCount val="1"/>
                <c:pt idx="0">
                  <c:v>CAP BEP</c:v>
                </c:pt>
              </c:strCache>
            </c:strRef>
          </c:tx>
          <c:spPr>
            <a:solidFill>
              <a:schemeClr val="accent4">
                <a:lumMod val="40000"/>
                <a:lumOff val="60000"/>
              </a:schemeClr>
            </a:solidFill>
          </c:spPr>
          <c:invertIfNegative val="0"/>
          <c:dLbls>
            <c:numFmt formatCode="0%" sourceLinked="0"/>
            <c:spPr>
              <a:noFill/>
              <a:ln>
                <a:noFill/>
              </a:ln>
              <a:effectLst/>
            </c:spPr>
            <c:txPr>
              <a:bodyPr/>
              <a:lstStyle/>
              <a:p>
                <a:pPr>
                  <a:defRPr sz="800" b="1">
                    <a:latin typeface="Avenir LT Std 35 Light"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'Population active'!$B$43:$F$43</c:f>
              <c:numCache>
                <c:formatCode>0.0%</c:formatCode>
                <c:ptCount val="5"/>
                <c:pt idx="1">
                  <c:v>0.26569829546800083</c:v>
                </c:pt>
                <c:pt idx="3">
                  <c:v>0.25080545463064574</c:v>
                </c:pt>
              </c:numCache>
            </c:numRef>
          </c:val>
          <c:extLst>
            <c:ext xmlns:c16="http://schemas.microsoft.com/office/drawing/2014/chart" uri="{C3380CC4-5D6E-409C-BE32-E72D297353CC}">
              <c16:uniqueId val="{00000001-FC7C-41D0-BEDB-E305AC1B2A0B}"/>
            </c:ext>
          </c:extLst>
        </c:ser>
        <c:ser>
          <c:idx val="4"/>
          <c:order val="2"/>
          <c:tx>
            <c:strRef>
              <c:f>'Population active'!$A$42</c:f>
              <c:strCache>
                <c:ptCount val="1"/>
                <c:pt idx="0">
                  <c:v>BAC, BAC Pro</c:v>
                </c:pt>
              </c:strCache>
            </c:strRef>
          </c:tx>
          <c:spPr>
            <a:solidFill>
              <a:schemeClr val="accent5">
                <a:lumMod val="75000"/>
              </a:schemeClr>
            </a:solidFill>
          </c:spPr>
          <c:invertIfNegative val="0"/>
          <c:dLbls>
            <c:numFmt formatCode="0%" sourceLinked="0"/>
            <c:spPr>
              <a:noFill/>
              <a:ln>
                <a:noFill/>
              </a:ln>
              <a:effectLst/>
            </c:spPr>
            <c:txPr>
              <a:bodyPr/>
              <a:lstStyle/>
              <a:p>
                <a:pPr>
                  <a:defRPr sz="800" b="1">
                    <a:latin typeface="Avenir LT Std 35 Light"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'Population active'!$B$42:$F$42</c:f>
              <c:numCache>
                <c:formatCode>0.0%</c:formatCode>
                <c:ptCount val="5"/>
                <c:pt idx="1">
                  <c:v>0.17344823694313377</c:v>
                </c:pt>
                <c:pt idx="3">
                  <c:v>0.17372164779624544</c:v>
                </c:pt>
              </c:numCache>
            </c:numRef>
          </c:val>
          <c:extLst>
            <c:ext xmlns:c16="http://schemas.microsoft.com/office/drawing/2014/chart" uri="{C3380CC4-5D6E-409C-BE32-E72D297353CC}">
              <c16:uniqueId val="{00000002-FC7C-41D0-BEDB-E305AC1B2A0B}"/>
            </c:ext>
          </c:extLst>
        </c:ser>
        <c:ser>
          <c:idx val="5"/>
          <c:order val="3"/>
          <c:tx>
            <c:strRef>
              <c:f>'Population active'!$A$41</c:f>
              <c:strCache>
                <c:ptCount val="1"/>
                <c:pt idx="0">
                  <c:v>Diplôme d'études supérieures</c:v>
                </c:pt>
              </c:strCache>
            </c:strRef>
          </c:tx>
          <c:spPr>
            <a:solidFill>
              <a:schemeClr val="accent6">
                <a:lumMod val="40000"/>
                <a:lumOff val="60000"/>
              </a:schemeClr>
            </a:solidFill>
          </c:spPr>
          <c:invertIfNegative val="0"/>
          <c:dLbls>
            <c:numFmt formatCode="0%" sourceLinked="0"/>
            <c:spPr>
              <a:noFill/>
              <a:ln>
                <a:noFill/>
              </a:ln>
              <a:effectLst/>
            </c:spPr>
            <c:txPr>
              <a:bodyPr/>
              <a:lstStyle/>
              <a:p>
                <a:pPr>
                  <a:defRPr sz="800" b="1">
                    <a:latin typeface="Avenir LT Std 35 Light"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'Population active'!$B$41:$F$41</c:f>
              <c:numCache>
                <c:formatCode>0.0%</c:formatCode>
                <c:ptCount val="5"/>
                <c:pt idx="1">
                  <c:v>0.2641651953532147</c:v>
                </c:pt>
                <c:pt idx="3">
                  <c:v>0.30067628170460436</c:v>
                </c:pt>
              </c:numCache>
            </c:numRef>
          </c:val>
          <c:extLst>
            <c:ext xmlns:c16="http://schemas.microsoft.com/office/drawing/2014/chart" uri="{C3380CC4-5D6E-409C-BE32-E72D297353CC}">
              <c16:uniqueId val="{00000003-FC7C-41D0-BEDB-E305AC1B2A0B}"/>
            </c:ext>
          </c:extLst>
        </c:ser>
        <c:dLbls>
          <c:showLegendKey val="0"/>
          <c:showVal val="0"/>
          <c:showCatName val="0"/>
          <c:showSerName val="0"/>
          <c:showPercent val="0"/>
          <c:showBubbleSize val="0"/>
        </c:dLbls>
        <c:gapWidth val="200"/>
        <c:overlap val="100"/>
        <c:serLines>
          <c:spPr>
            <a:ln>
              <a:solidFill>
                <a:schemeClr val="bg1">
                  <a:lumMod val="75000"/>
                </a:schemeClr>
              </a:solidFill>
              <a:prstDash val="dashDot"/>
            </a:ln>
          </c:spPr>
        </c:serLines>
        <c:axId val="333650944"/>
        <c:axId val="333677312"/>
      </c:barChart>
      <c:catAx>
        <c:axId val="333650944"/>
        <c:scaling>
          <c:orientation val="minMax"/>
        </c:scaling>
        <c:delete val="1"/>
        <c:axPos val="b"/>
        <c:majorTickMark val="out"/>
        <c:minorTickMark val="none"/>
        <c:tickLblPos val="nextTo"/>
        <c:crossAx val="333677312"/>
        <c:crosses val="autoZero"/>
        <c:auto val="1"/>
        <c:lblAlgn val="ctr"/>
        <c:lblOffset val="100"/>
        <c:noMultiLvlLbl val="0"/>
      </c:catAx>
      <c:valAx>
        <c:axId val="333677312"/>
        <c:scaling>
          <c:orientation val="minMax"/>
        </c:scaling>
        <c:delete val="1"/>
        <c:axPos val="l"/>
        <c:majorGridlines>
          <c:spPr>
            <a:ln>
              <a:noFill/>
            </a:ln>
          </c:spPr>
        </c:majorGridlines>
        <c:numFmt formatCode="0%" sourceLinked="1"/>
        <c:majorTickMark val="out"/>
        <c:minorTickMark val="none"/>
        <c:tickLblPos val="nextTo"/>
        <c:crossAx val="333650944"/>
        <c:crosses val="autoZero"/>
        <c:crossBetween val="between"/>
      </c:valAx>
    </c:plotArea>
    <c:legend>
      <c:legendPos val="l"/>
      <c:layout>
        <c:manualLayout>
          <c:xMode val="edge"/>
          <c:yMode val="edge"/>
          <c:x val="1.4109347442680775E-2"/>
          <c:y val="3.0660994961836666E-2"/>
          <c:w val="0.38082562850375407"/>
          <c:h val="0.9270972091791278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156824146981621E-2"/>
          <c:y val="5.9141207349081362E-2"/>
          <c:w val="0.43063168671827423"/>
          <c:h val="0.87179002624671909"/>
        </c:manualLayout>
      </c:layout>
      <c:doughnutChart>
        <c:varyColors val="1"/>
        <c:ser>
          <c:idx val="0"/>
          <c:order val="0"/>
          <c:tx>
            <c:strRef>
              <c:f>Entreprises!$A$28</c:f>
              <c:strCache>
                <c:ptCount val="1"/>
                <c:pt idx="0">
                  <c:v>AU Bordeaux</c:v>
                </c:pt>
              </c:strCache>
            </c:strRef>
          </c:tx>
          <c:dPt>
            <c:idx val="0"/>
            <c:bubble3D val="0"/>
            <c:spPr>
              <a:solidFill>
                <a:schemeClr val="accent3">
                  <a:lumMod val="75000"/>
                </a:schemeClr>
              </a:solidFill>
            </c:spPr>
            <c:extLst>
              <c:ext xmlns:c16="http://schemas.microsoft.com/office/drawing/2014/chart" uri="{C3380CC4-5D6E-409C-BE32-E72D297353CC}">
                <c16:uniqueId val="{00000001-F1A1-491D-8ECE-19ED3DA1106C}"/>
              </c:ext>
            </c:extLst>
          </c:dPt>
          <c:dPt>
            <c:idx val="1"/>
            <c:bubble3D val="0"/>
            <c:spPr>
              <a:solidFill>
                <a:schemeClr val="bg2">
                  <a:lumMod val="25000"/>
                </a:schemeClr>
              </a:solidFill>
            </c:spPr>
            <c:extLst>
              <c:ext xmlns:c16="http://schemas.microsoft.com/office/drawing/2014/chart" uri="{C3380CC4-5D6E-409C-BE32-E72D297353CC}">
                <c16:uniqueId val="{00000003-F1A1-491D-8ECE-19ED3DA1106C}"/>
              </c:ext>
            </c:extLst>
          </c:dPt>
          <c:dPt>
            <c:idx val="2"/>
            <c:bubble3D val="0"/>
            <c:spPr>
              <a:solidFill>
                <a:schemeClr val="accent2">
                  <a:lumMod val="75000"/>
                </a:schemeClr>
              </a:solidFill>
            </c:spPr>
            <c:extLst>
              <c:ext xmlns:c16="http://schemas.microsoft.com/office/drawing/2014/chart" uri="{C3380CC4-5D6E-409C-BE32-E72D297353CC}">
                <c16:uniqueId val="{00000005-F1A1-491D-8ECE-19ED3DA1106C}"/>
              </c:ext>
            </c:extLst>
          </c:dPt>
          <c:dPt>
            <c:idx val="3"/>
            <c:bubble3D val="0"/>
            <c:spPr>
              <a:solidFill>
                <a:schemeClr val="accent4">
                  <a:lumMod val="60000"/>
                  <a:lumOff val="40000"/>
                </a:schemeClr>
              </a:solidFill>
            </c:spPr>
            <c:extLst>
              <c:ext xmlns:c16="http://schemas.microsoft.com/office/drawing/2014/chart" uri="{C3380CC4-5D6E-409C-BE32-E72D297353CC}">
                <c16:uniqueId val="{00000007-F1A1-491D-8ECE-19ED3DA1106C}"/>
              </c:ext>
            </c:extLst>
          </c:dPt>
          <c:dPt>
            <c:idx val="4"/>
            <c:bubble3D val="0"/>
            <c:spPr>
              <a:solidFill>
                <a:schemeClr val="tx2">
                  <a:lumMod val="60000"/>
                  <a:lumOff val="40000"/>
                </a:schemeClr>
              </a:solidFill>
            </c:spPr>
            <c:extLst>
              <c:ext xmlns:c16="http://schemas.microsoft.com/office/drawing/2014/chart" uri="{C3380CC4-5D6E-409C-BE32-E72D297353CC}">
                <c16:uniqueId val="{00000009-F1A1-491D-8ECE-19ED3DA1106C}"/>
              </c:ext>
            </c:extLst>
          </c:dPt>
          <c:dPt>
            <c:idx val="5"/>
            <c:bubble3D val="0"/>
            <c:spPr>
              <a:solidFill>
                <a:schemeClr val="accent6">
                  <a:lumMod val="75000"/>
                </a:schemeClr>
              </a:solidFill>
            </c:spPr>
            <c:extLst>
              <c:ext xmlns:c16="http://schemas.microsoft.com/office/drawing/2014/chart" uri="{C3380CC4-5D6E-409C-BE32-E72D297353CC}">
                <c16:uniqueId val="{0000000B-F1A1-491D-8ECE-19ED3DA1106C}"/>
              </c:ext>
            </c:extLst>
          </c:dPt>
          <c:dLbls>
            <c:dLbl>
              <c:idx val="0"/>
              <c:layout>
                <c:manualLayout>
                  <c:x val="0"/>
                  <c:y val="-4.629629629629629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A1-491D-8ECE-19ED3DA1106C}"/>
                </c:ext>
              </c:extLst>
            </c:dLbl>
            <c:dLbl>
              <c:idx val="1"/>
              <c:layout>
                <c:manualLayout>
                  <c:x val="-2.7777777777777779E-3"/>
                  <c:y val="2.777777777777777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A1-491D-8ECE-19ED3DA1106C}"/>
                </c:ext>
              </c:extLst>
            </c:dLbl>
            <c:spPr>
              <a:noFill/>
              <a:ln>
                <a:noFill/>
              </a:ln>
              <a:effectLst/>
            </c:spPr>
            <c:txPr>
              <a:bodyPr/>
              <a:lstStyle/>
              <a:p>
                <a:pPr>
                  <a:defRPr sz="900">
                    <a:solidFill>
                      <a:schemeClr val="bg1"/>
                    </a:solidFill>
                  </a:defRPr>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Entreprises!$B$27:$G$27</c:f>
              <c:strCache>
                <c:ptCount val="6"/>
                <c:pt idx="0">
                  <c:v>Agriculture</c:v>
                </c:pt>
                <c:pt idx="1">
                  <c:v>Industrie</c:v>
                </c:pt>
                <c:pt idx="2">
                  <c:v>Construction</c:v>
                </c:pt>
                <c:pt idx="3">
                  <c:v>Services</c:v>
                </c:pt>
                <c:pt idx="4">
                  <c:v>Commerce &amp; rep auto</c:v>
                </c:pt>
                <c:pt idx="5">
                  <c:v>Administration publique</c:v>
                </c:pt>
              </c:strCache>
            </c:strRef>
          </c:cat>
          <c:val>
            <c:numRef>
              <c:f>Entreprises!$B$28:$G$28</c:f>
              <c:numCache>
                <c:formatCode>General</c:formatCode>
                <c:ptCount val="6"/>
                <c:pt idx="0">
                  <c:v>3809</c:v>
                </c:pt>
                <c:pt idx="1">
                  <c:v>5992</c:v>
                </c:pt>
                <c:pt idx="2">
                  <c:v>14764</c:v>
                </c:pt>
                <c:pt idx="3">
                  <c:v>64123</c:v>
                </c:pt>
                <c:pt idx="4">
                  <c:v>21776</c:v>
                </c:pt>
                <c:pt idx="5">
                  <c:v>19413</c:v>
                </c:pt>
              </c:numCache>
            </c:numRef>
          </c:val>
          <c:extLst>
            <c:ext xmlns:c16="http://schemas.microsoft.com/office/drawing/2014/chart" uri="{C3380CC4-5D6E-409C-BE32-E72D297353CC}">
              <c16:uniqueId val="{0000000C-F1A1-491D-8ECE-19ED3DA1106C}"/>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45249900703654949"/>
          <c:y val="0.20519668309381178"/>
          <c:w val="0.4125697280290373"/>
          <c:h val="0.69725831980926045"/>
        </c:manualLayout>
      </c:layout>
      <c:overlay val="0"/>
      <c:txPr>
        <a:bodyPr/>
        <a:lstStyle/>
        <a:p>
          <a:pPr>
            <a:defRPr sz="9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48592584080352"/>
          <c:y val="6.984130475755769E-2"/>
          <c:w val="0.7548719355857092"/>
          <c:h val="0.90036334843619403"/>
        </c:manualLayout>
      </c:layout>
      <c:doughnutChart>
        <c:varyColors val="1"/>
        <c:ser>
          <c:idx val="0"/>
          <c:order val="0"/>
          <c:tx>
            <c:strRef>
              <c:f>Entreprises!$A$29</c:f>
              <c:strCache>
                <c:ptCount val="1"/>
                <c:pt idx="0">
                  <c:v>AU Toulouse</c:v>
                </c:pt>
              </c:strCache>
            </c:strRef>
          </c:tx>
          <c:dPt>
            <c:idx val="0"/>
            <c:bubble3D val="0"/>
            <c:spPr>
              <a:solidFill>
                <a:schemeClr val="accent3">
                  <a:lumMod val="75000"/>
                </a:schemeClr>
              </a:solidFill>
            </c:spPr>
            <c:extLst>
              <c:ext xmlns:c16="http://schemas.microsoft.com/office/drawing/2014/chart" uri="{C3380CC4-5D6E-409C-BE32-E72D297353CC}">
                <c16:uniqueId val="{00000001-A36C-4E69-88C7-D4D44176EED7}"/>
              </c:ext>
            </c:extLst>
          </c:dPt>
          <c:dPt>
            <c:idx val="1"/>
            <c:bubble3D val="0"/>
            <c:spPr>
              <a:solidFill>
                <a:schemeClr val="bg2">
                  <a:lumMod val="25000"/>
                </a:schemeClr>
              </a:solidFill>
            </c:spPr>
            <c:extLst>
              <c:ext xmlns:c16="http://schemas.microsoft.com/office/drawing/2014/chart" uri="{C3380CC4-5D6E-409C-BE32-E72D297353CC}">
                <c16:uniqueId val="{00000003-A36C-4E69-88C7-D4D44176EED7}"/>
              </c:ext>
            </c:extLst>
          </c:dPt>
          <c:dPt>
            <c:idx val="2"/>
            <c:bubble3D val="0"/>
            <c:spPr>
              <a:solidFill>
                <a:schemeClr val="accent2">
                  <a:lumMod val="75000"/>
                </a:schemeClr>
              </a:solidFill>
            </c:spPr>
            <c:extLst>
              <c:ext xmlns:c16="http://schemas.microsoft.com/office/drawing/2014/chart" uri="{C3380CC4-5D6E-409C-BE32-E72D297353CC}">
                <c16:uniqueId val="{00000005-A36C-4E69-88C7-D4D44176EED7}"/>
              </c:ext>
            </c:extLst>
          </c:dPt>
          <c:dPt>
            <c:idx val="3"/>
            <c:bubble3D val="0"/>
            <c:spPr>
              <a:solidFill>
                <a:schemeClr val="accent4">
                  <a:lumMod val="60000"/>
                  <a:lumOff val="40000"/>
                </a:schemeClr>
              </a:solidFill>
            </c:spPr>
            <c:extLst>
              <c:ext xmlns:c16="http://schemas.microsoft.com/office/drawing/2014/chart" uri="{C3380CC4-5D6E-409C-BE32-E72D297353CC}">
                <c16:uniqueId val="{00000007-A36C-4E69-88C7-D4D44176EED7}"/>
              </c:ext>
            </c:extLst>
          </c:dPt>
          <c:dPt>
            <c:idx val="4"/>
            <c:bubble3D val="0"/>
            <c:spPr>
              <a:solidFill>
                <a:schemeClr val="tx2">
                  <a:lumMod val="60000"/>
                  <a:lumOff val="40000"/>
                </a:schemeClr>
              </a:solidFill>
            </c:spPr>
            <c:extLst>
              <c:ext xmlns:c16="http://schemas.microsoft.com/office/drawing/2014/chart" uri="{C3380CC4-5D6E-409C-BE32-E72D297353CC}">
                <c16:uniqueId val="{00000009-A36C-4E69-88C7-D4D44176EED7}"/>
              </c:ext>
            </c:extLst>
          </c:dPt>
          <c:dPt>
            <c:idx val="5"/>
            <c:bubble3D val="0"/>
            <c:spPr>
              <a:solidFill>
                <a:schemeClr val="accent6">
                  <a:lumMod val="75000"/>
                </a:schemeClr>
              </a:solidFill>
            </c:spPr>
            <c:extLst>
              <c:ext xmlns:c16="http://schemas.microsoft.com/office/drawing/2014/chart" uri="{C3380CC4-5D6E-409C-BE32-E72D297353CC}">
                <c16:uniqueId val="{0000000B-A36C-4E69-88C7-D4D44176EED7}"/>
              </c:ext>
            </c:extLst>
          </c:dPt>
          <c:dLbls>
            <c:dLbl>
              <c:idx val="0"/>
              <c:layout>
                <c:manualLayout>
                  <c:x val="1.118123354507757E-2"/>
                  <c:y val="-7.204035249783721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6C-4E69-88C7-D4D44176EED7}"/>
                </c:ext>
              </c:extLst>
            </c:dLbl>
            <c:dLbl>
              <c:idx val="1"/>
              <c:layout>
                <c:manualLayout>
                  <c:x val="0"/>
                  <c:y val="3.809525714048601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6C-4E69-88C7-D4D44176EED7}"/>
                </c:ext>
              </c:extLst>
            </c:dLbl>
            <c:spPr>
              <a:noFill/>
              <a:ln>
                <a:noFill/>
              </a:ln>
              <a:effectLst/>
            </c:spPr>
            <c:txPr>
              <a:bodyPr/>
              <a:lstStyle/>
              <a:p>
                <a:pPr>
                  <a:defRPr sz="900">
                    <a:solidFill>
                      <a:schemeClr val="bg1"/>
                    </a:solidFill>
                  </a:defRPr>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val>
            <c:numRef>
              <c:f>Entreprises!$B$29:$G$29</c:f>
              <c:numCache>
                <c:formatCode>General</c:formatCode>
                <c:ptCount val="6"/>
                <c:pt idx="0">
                  <c:v>4243</c:v>
                </c:pt>
                <c:pt idx="1">
                  <c:v>6240</c:v>
                </c:pt>
                <c:pt idx="2">
                  <c:v>15480</c:v>
                </c:pt>
                <c:pt idx="3">
                  <c:v>66248</c:v>
                </c:pt>
                <c:pt idx="4">
                  <c:v>19468</c:v>
                </c:pt>
                <c:pt idx="5">
                  <c:v>21937</c:v>
                </c:pt>
              </c:numCache>
            </c:numRef>
          </c:val>
          <c:extLst>
            <c:ext xmlns:c16="http://schemas.microsoft.com/office/drawing/2014/chart" uri="{C3380CC4-5D6E-409C-BE32-E72D297353CC}">
              <c16:uniqueId val="{0000000C-A36C-4E69-88C7-D4D44176EED7}"/>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947336806779748E-2"/>
          <c:y val="7.2209722222222231E-2"/>
          <c:w val="0.38685880696787239"/>
          <c:h val="0.85620922432750535"/>
        </c:manualLayout>
      </c:layout>
      <c:pieChart>
        <c:varyColors val="1"/>
        <c:ser>
          <c:idx val="0"/>
          <c:order val="0"/>
          <c:tx>
            <c:strRef>
              <c:f>Entreprises!$A$41</c:f>
              <c:strCache>
                <c:ptCount val="1"/>
                <c:pt idx="0">
                  <c:v>AU Bordeaux</c:v>
                </c:pt>
              </c:strCache>
            </c:strRef>
          </c:tx>
          <c:dPt>
            <c:idx val="0"/>
            <c:bubble3D val="0"/>
            <c:spPr>
              <a:solidFill>
                <a:schemeClr val="accent4">
                  <a:lumMod val="20000"/>
                  <a:lumOff val="80000"/>
                </a:schemeClr>
              </a:solidFill>
            </c:spPr>
            <c:extLst>
              <c:ext xmlns:c16="http://schemas.microsoft.com/office/drawing/2014/chart" uri="{C3380CC4-5D6E-409C-BE32-E72D297353CC}">
                <c16:uniqueId val="{00000001-E30F-419A-A0C7-FAF5C64EC212}"/>
              </c:ext>
            </c:extLst>
          </c:dPt>
          <c:dPt>
            <c:idx val="1"/>
            <c:bubble3D val="0"/>
            <c:spPr>
              <a:solidFill>
                <a:schemeClr val="accent4">
                  <a:lumMod val="40000"/>
                  <a:lumOff val="60000"/>
                </a:schemeClr>
              </a:solidFill>
            </c:spPr>
            <c:extLst>
              <c:ext xmlns:c16="http://schemas.microsoft.com/office/drawing/2014/chart" uri="{C3380CC4-5D6E-409C-BE32-E72D297353CC}">
                <c16:uniqueId val="{00000003-E30F-419A-A0C7-FAF5C64EC212}"/>
              </c:ext>
            </c:extLst>
          </c:dPt>
          <c:dPt>
            <c:idx val="2"/>
            <c:bubble3D val="0"/>
            <c:spPr>
              <a:solidFill>
                <a:schemeClr val="accent4">
                  <a:lumMod val="60000"/>
                  <a:lumOff val="40000"/>
                  <a:alpha val="99000"/>
                </a:schemeClr>
              </a:solidFill>
            </c:spPr>
            <c:extLst>
              <c:ext xmlns:c16="http://schemas.microsoft.com/office/drawing/2014/chart" uri="{C3380CC4-5D6E-409C-BE32-E72D297353CC}">
                <c16:uniqueId val="{00000005-E30F-419A-A0C7-FAF5C64EC212}"/>
              </c:ext>
            </c:extLst>
          </c:dPt>
          <c:dPt>
            <c:idx val="3"/>
            <c:bubble3D val="0"/>
            <c:spPr>
              <a:solidFill>
                <a:schemeClr val="accent4">
                  <a:lumMod val="75000"/>
                </a:schemeClr>
              </a:solidFill>
            </c:spPr>
            <c:extLst>
              <c:ext xmlns:c16="http://schemas.microsoft.com/office/drawing/2014/chart" uri="{C3380CC4-5D6E-409C-BE32-E72D297353CC}">
                <c16:uniqueId val="{00000007-E30F-419A-A0C7-FAF5C64EC212}"/>
              </c:ext>
            </c:extLst>
          </c:dPt>
          <c:dPt>
            <c:idx val="4"/>
            <c:bubble3D val="0"/>
            <c:spPr>
              <a:solidFill>
                <a:schemeClr val="accent4">
                  <a:lumMod val="50000"/>
                </a:schemeClr>
              </a:solidFill>
            </c:spPr>
            <c:extLst>
              <c:ext xmlns:c16="http://schemas.microsoft.com/office/drawing/2014/chart" uri="{C3380CC4-5D6E-409C-BE32-E72D297353CC}">
                <c16:uniqueId val="{00000009-E30F-419A-A0C7-FAF5C64EC212}"/>
              </c:ext>
            </c:extLst>
          </c:dPt>
          <c:dPt>
            <c:idx val="5"/>
            <c:bubble3D val="0"/>
            <c:spPr>
              <a:solidFill>
                <a:srgbClr val="FF0000"/>
              </a:solidFill>
            </c:spPr>
            <c:extLst>
              <c:ext xmlns:c16="http://schemas.microsoft.com/office/drawing/2014/chart" uri="{C3380CC4-5D6E-409C-BE32-E72D297353CC}">
                <c16:uniqueId val="{0000000B-E30F-419A-A0C7-FAF5C64EC212}"/>
              </c:ext>
            </c:extLst>
          </c:dPt>
          <c:cat>
            <c:strRef>
              <c:f>Entreprises!$B$40:$G$40</c:f>
              <c:strCache>
                <c:ptCount val="6"/>
                <c:pt idx="0">
                  <c:v>0 salarié</c:v>
                </c:pt>
                <c:pt idx="1">
                  <c:v>1 à 9 salariés</c:v>
                </c:pt>
                <c:pt idx="2">
                  <c:v>10 à 49 salariés</c:v>
                </c:pt>
                <c:pt idx="3">
                  <c:v>50 à 199 salariés</c:v>
                </c:pt>
                <c:pt idx="4">
                  <c:v>200 à 499 salariés</c:v>
                </c:pt>
                <c:pt idx="5">
                  <c:v>500 salariés et +</c:v>
                </c:pt>
              </c:strCache>
            </c:strRef>
          </c:cat>
          <c:val>
            <c:numRef>
              <c:f>Entreprises!$B$41:$G$41</c:f>
              <c:numCache>
                <c:formatCode>General</c:formatCode>
                <c:ptCount val="6"/>
                <c:pt idx="0">
                  <c:v>94533</c:v>
                </c:pt>
                <c:pt idx="1">
                  <c:v>27774</c:v>
                </c:pt>
                <c:pt idx="2">
                  <c:v>6102</c:v>
                </c:pt>
                <c:pt idx="3">
                  <c:v>1234</c:v>
                </c:pt>
                <c:pt idx="4">
                  <c:v>163</c:v>
                </c:pt>
                <c:pt idx="5">
                  <c:v>71</c:v>
                </c:pt>
              </c:numCache>
            </c:numRef>
          </c:val>
          <c:extLst>
            <c:ext xmlns:c16="http://schemas.microsoft.com/office/drawing/2014/chart" uri="{C3380CC4-5D6E-409C-BE32-E72D297353CC}">
              <c16:uniqueId val="{0000000C-E30F-419A-A0C7-FAF5C64EC21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54101254308181912"/>
          <c:y val="2.6213194444444435E-2"/>
          <c:w val="0.2640816102543449"/>
          <c:h val="0.90627583401783851"/>
        </c:manualLayout>
      </c:layout>
      <c:overlay val="0"/>
      <c:txPr>
        <a:bodyPr/>
        <a:lstStyle/>
        <a:p>
          <a:pPr>
            <a:defRPr sz="9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79216787944818"/>
          <c:y val="0.10695610965296004"/>
          <c:w val="0.44348129050240404"/>
          <c:h val="0.77706401283172932"/>
        </c:manualLayout>
      </c:layout>
      <c:barChart>
        <c:barDir val="col"/>
        <c:grouping val="stacked"/>
        <c:varyColors val="0"/>
        <c:ser>
          <c:idx val="0"/>
          <c:order val="0"/>
          <c:tx>
            <c:strRef>
              <c:f>'Emploi-old'!$B$73</c:f>
              <c:strCache>
                <c:ptCount val="1"/>
                <c:pt idx="0">
                  <c:v>Privée</c:v>
                </c:pt>
              </c:strCache>
            </c:strRef>
          </c:tx>
          <c:spPr>
            <a:solidFill>
              <a:schemeClr val="accent4">
                <a:lumMod val="60000"/>
                <a:lumOff val="40000"/>
              </a:schemeClr>
            </a:solidFill>
          </c:spPr>
          <c:invertIfNegative val="0"/>
          <c:cat>
            <c:strRef>
              <c:f>'Emploi-old'!$A$74:$A$75</c:f>
              <c:strCache>
                <c:ptCount val="2"/>
                <c:pt idx="0">
                  <c:v>Bordeaux Métropole</c:v>
                </c:pt>
                <c:pt idx="1">
                  <c:v>Gironde</c:v>
                </c:pt>
              </c:strCache>
            </c:strRef>
          </c:cat>
          <c:val>
            <c:numRef>
              <c:f>'Emploi-old'!$B$74:$B$75</c:f>
              <c:numCache>
                <c:formatCode>#,##0</c:formatCode>
                <c:ptCount val="2"/>
                <c:pt idx="0">
                  <c:v>157484</c:v>
                </c:pt>
                <c:pt idx="1">
                  <c:v>232576</c:v>
                </c:pt>
              </c:numCache>
            </c:numRef>
          </c:val>
          <c:extLst>
            <c:ext xmlns:c16="http://schemas.microsoft.com/office/drawing/2014/chart" uri="{C3380CC4-5D6E-409C-BE32-E72D297353CC}">
              <c16:uniqueId val="{00000000-402F-4A88-8F20-BB318D27339E}"/>
            </c:ext>
          </c:extLst>
        </c:ser>
        <c:ser>
          <c:idx val="1"/>
          <c:order val="1"/>
          <c:tx>
            <c:strRef>
              <c:f>'Emploi-old'!$C$73</c:f>
              <c:strCache>
                <c:ptCount val="1"/>
                <c:pt idx="0">
                  <c:v>Publique</c:v>
                </c:pt>
              </c:strCache>
            </c:strRef>
          </c:tx>
          <c:spPr>
            <a:solidFill>
              <a:srgbClr val="FFC000"/>
            </a:solidFill>
          </c:spPr>
          <c:invertIfNegative val="0"/>
          <c:cat>
            <c:strRef>
              <c:f>'Emploi-old'!$A$74:$A$75</c:f>
              <c:strCache>
                <c:ptCount val="2"/>
                <c:pt idx="0">
                  <c:v>Bordeaux Métropole</c:v>
                </c:pt>
                <c:pt idx="1">
                  <c:v>Gironde</c:v>
                </c:pt>
              </c:strCache>
            </c:strRef>
          </c:cat>
          <c:val>
            <c:numRef>
              <c:f>'Emploi-old'!$C$74:$C$75</c:f>
              <c:numCache>
                <c:formatCode>#,##0</c:formatCode>
                <c:ptCount val="2"/>
                <c:pt idx="0">
                  <c:v>92822</c:v>
                </c:pt>
                <c:pt idx="1">
                  <c:v>131043</c:v>
                </c:pt>
              </c:numCache>
            </c:numRef>
          </c:val>
          <c:extLst>
            <c:ext xmlns:c16="http://schemas.microsoft.com/office/drawing/2014/chart" uri="{C3380CC4-5D6E-409C-BE32-E72D297353CC}">
              <c16:uniqueId val="{00000001-402F-4A88-8F20-BB318D27339E}"/>
            </c:ext>
          </c:extLst>
        </c:ser>
        <c:ser>
          <c:idx val="2"/>
          <c:order val="2"/>
          <c:tx>
            <c:strRef>
              <c:f>'Emploi-old'!$D$73</c:f>
              <c:strCache>
                <c:ptCount val="1"/>
                <c:pt idx="0">
                  <c:v>Privée</c:v>
                </c:pt>
              </c:strCache>
            </c:strRef>
          </c:tx>
          <c:spPr>
            <a:solidFill>
              <a:srgbClr val="CCCCFF"/>
            </a:solidFill>
          </c:spPr>
          <c:invertIfNegative val="0"/>
          <c:cat>
            <c:strRef>
              <c:f>'Emploi-old'!$A$74:$A$75</c:f>
              <c:strCache>
                <c:ptCount val="2"/>
                <c:pt idx="0">
                  <c:v>Bordeaux Métropole</c:v>
                </c:pt>
                <c:pt idx="1">
                  <c:v>Gironde</c:v>
                </c:pt>
              </c:strCache>
            </c:strRef>
          </c:cat>
          <c:val>
            <c:numRef>
              <c:f>'Emploi-old'!$D$74:$D$75</c:f>
              <c:numCache>
                <c:formatCode>#,##0</c:formatCode>
                <c:ptCount val="2"/>
                <c:pt idx="0">
                  <c:v>107041</c:v>
                </c:pt>
                <c:pt idx="1">
                  <c:v>179419</c:v>
                </c:pt>
              </c:numCache>
            </c:numRef>
          </c:val>
          <c:extLst>
            <c:ext xmlns:c16="http://schemas.microsoft.com/office/drawing/2014/chart" uri="{C3380CC4-5D6E-409C-BE32-E72D297353CC}">
              <c16:uniqueId val="{00000002-402F-4A88-8F20-BB318D27339E}"/>
            </c:ext>
          </c:extLst>
        </c:ser>
        <c:ser>
          <c:idx val="3"/>
          <c:order val="3"/>
          <c:tx>
            <c:strRef>
              <c:f>'Emploi-old'!$E$73</c:f>
              <c:strCache>
                <c:ptCount val="1"/>
                <c:pt idx="0">
                  <c:v>Publique</c:v>
                </c:pt>
              </c:strCache>
            </c:strRef>
          </c:tx>
          <c:spPr>
            <a:solidFill>
              <a:schemeClr val="accent6">
                <a:lumMod val="75000"/>
              </a:schemeClr>
            </a:solidFill>
          </c:spPr>
          <c:invertIfNegative val="0"/>
          <c:cat>
            <c:strRef>
              <c:f>'Emploi-old'!$A$74:$A$75</c:f>
              <c:strCache>
                <c:ptCount val="2"/>
                <c:pt idx="0">
                  <c:v>Bordeaux Métropole</c:v>
                </c:pt>
                <c:pt idx="1">
                  <c:v>Gironde</c:v>
                </c:pt>
              </c:strCache>
            </c:strRef>
          </c:cat>
          <c:val>
            <c:numRef>
              <c:f>'Emploi-old'!$E$74:$E$75</c:f>
              <c:numCache>
                <c:formatCode>#,##0</c:formatCode>
                <c:ptCount val="2"/>
                <c:pt idx="0">
                  <c:v>2665</c:v>
                </c:pt>
                <c:pt idx="1">
                  <c:v>3129</c:v>
                </c:pt>
              </c:numCache>
            </c:numRef>
          </c:val>
          <c:extLst>
            <c:ext xmlns:c16="http://schemas.microsoft.com/office/drawing/2014/chart" uri="{C3380CC4-5D6E-409C-BE32-E72D297353CC}">
              <c16:uniqueId val="{00000003-402F-4A88-8F20-BB318D27339E}"/>
            </c:ext>
          </c:extLst>
        </c:ser>
        <c:dLbls>
          <c:showLegendKey val="0"/>
          <c:showVal val="0"/>
          <c:showCatName val="0"/>
          <c:showSerName val="0"/>
          <c:showPercent val="0"/>
          <c:showBubbleSize val="0"/>
        </c:dLbls>
        <c:gapWidth val="150"/>
        <c:overlap val="100"/>
        <c:axId val="311184000"/>
        <c:axId val="311189888"/>
      </c:barChart>
      <c:catAx>
        <c:axId val="311184000"/>
        <c:scaling>
          <c:orientation val="minMax"/>
        </c:scaling>
        <c:delete val="0"/>
        <c:axPos val="b"/>
        <c:numFmt formatCode="General" sourceLinked="0"/>
        <c:majorTickMark val="out"/>
        <c:minorTickMark val="none"/>
        <c:tickLblPos val="nextTo"/>
        <c:crossAx val="311189888"/>
        <c:crosses val="autoZero"/>
        <c:auto val="1"/>
        <c:lblAlgn val="ctr"/>
        <c:lblOffset val="100"/>
        <c:noMultiLvlLbl val="0"/>
      </c:catAx>
      <c:valAx>
        <c:axId val="311189888"/>
        <c:scaling>
          <c:orientation val="minMax"/>
        </c:scaling>
        <c:delete val="0"/>
        <c:axPos val="l"/>
        <c:majorGridlines/>
        <c:numFmt formatCode="#,##0" sourceLinked="1"/>
        <c:majorTickMark val="out"/>
        <c:minorTickMark val="none"/>
        <c:tickLblPos val="nextTo"/>
        <c:crossAx val="311184000"/>
        <c:crosses val="autoZero"/>
        <c:crossBetween val="between"/>
      </c:valAx>
    </c:plotArea>
    <c:legend>
      <c:legendPos val="r"/>
      <c:layout>
        <c:manualLayout>
          <c:xMode val="edge"/>
          <c:yMode val="edge"/>
          <c:x val="0.57609179383550513"/>
          <c:y val="0.20293598716827063"/>
          <c:w val="0.29362227951594544"/>
          <c:h val="0.691350247885681"/>
        </c:manualLayout>
      </c:layout>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150981735438636"/>
          <c:y val="8.3134722222222207E-2"/>
          <c:w val="0.65165676349750812"/>
          <c:h val="0.8555007462864106"/>
        </c:manualLayout>
      </c:layout>
      <c:pieChart>
        <c:varyColors val="1"/>
        <c:ser>
          <c:idx val="0"/>
          <c:order val="0"/>
          <c:tx>
            <c:strRef>
              <c:f>Entreprises!$A$42</c:f>
              <c:strCache>
                <c:ptCount val="1"/>
                <c:pt idx="0">
                  <c:v>AU Toulouse</c:v>
                </c:pt>
              </c:strCache>
            </c:strRef>
          </c:tx>
          <c:dPt>
            <c:idx val="0"/>
            <c:bubble3D val="0"/>
            <c:spPr>
              <a:solidFill>
                <a:schemeClr val="accent4">
                  <a:lumMod val="20000"/>
                  <a:lumOff val="80000"/>
                </a:schemeClr>
              </a:solidFill>
            </c:spPr>
            <c:extLst>
              <c:ext xmlns:c16="http://schemas.microsoft.com/office/drawing/2014/chart" uri="{C3380CC4-5D6E-409C-BE32-E72D297353CC}">
                <c16:uniqueId val="{00000001-6167-41AB-B777-834D1CBCEC56}"/>
              </c:ext>
            </c:extLst>
          </c:dPt>
          <c:dPt>
            <c:idx val="1"/>
            <c:bubble3D val="0"/>
            <c:spPr>
              <a:solidFill>
                <a:schemeClr val="accent4">
                  <a:lumMod val="40000"/>
                  <a:lumOff val="60000"/>
                </a:schemeClr>
              </a:solidFill>
            </c:spPr>
            <c:extLst>
              <c:ext xmlns:c16="http://schemas.microsoft.com/office/drawing/2014/chart" uri="{C3380CC4-5D6E-409C-BE32-E72D297353CC}">
                <c16:uniqueId val="{00000003-6167-41AB-B777-834D1CBCEC56}"/>
              </c:ext>
            </c:extLst>
          </c:dPt>
          <c:dPt>
            <c:idx val="2"/>
            <c:bubble3D val="0"/>
            <c:spPr>
              <a:solidFill>
                <a:schemeClr val="accent4">
                  <a:lumMod val="60000"/>
                  <a:lumOff val="40000"/>
                </a:schemeClr>
              </a:solidFill>
            </c:spPr>
            <c:extLst>
              <c:ext xmlns:c16="http://schemas.microsoft.com/office/drawing/2014/chart" uri="{C3380CC4-5D6E-409C-BE32-E72D297353CC}">
                <c16:uniqueId val="{00000005-6167-41AB-B777-834D1CBCEC56}"/>
              </c:ext>
            </c:extLst>
          </c:dPt>
          <c:dPt>
            <c:idx val="3"/>
            <c:bubble3D val="0"/>
            <c:spPr>
              <a:solidFill>
                <a:schemeClr val="accent4">
                  <a:lumMod val="75000"/>
                </a:schemeClr>
              </a:solidFill>
            </c:spPr>
            <c:extLst>
              <c:ext xmlns:c16="http://schemas.microsoft.com/office/drawing/2014/chart" uri="{C3380CC4-5D6E-409C-BE32-E72D297353CC}">
                <c16:uniqueId val="{00000007-6167-41AB-B777-834D1CBCEC56}"/>
              </c:ext>
            </c:extLst>
          </c:dPt>
          <c:dPt>
            <c:idx val="4"/>
            <c:bubble3D val="0"/>
            <c:spPr>
              <a:solidFill>
                <a:srgbClr val="FF0000"/>
              </a:solidFill>
            </c:spPr>
            <c:extLst>
              <c:ext xmlns:c16="http://schemas.microsoft.com/office/drawing/2014/chart" uri="{C3380CC4-5D6E-409C-BE32-E72D297353CC}">
                <c16:uniqueId val="{00000009-6167-41AB-B777-834D1CBCEC56}"/>
              </c:ext>
            </c:extLst>
          </c:dPt>
          <c:val>
            <c:numRef>
              <c:f>Entreprises!$B$42:$G$42</c:f>
              <c:numCache>
                <c:formatCode>General</c:formatCode>
                <c:ptCount val="6"/>
                <c:pt idx="0">
                  <c:v>96995</c:v>
                </c:pt>
                <c:pt idx="1">
                  <c:v>28689</c:v>
                </c:pt>
                <c:pt idx="2">
                  <c:v>6270</c:v>
                </c:pt>
                <c:pt idx="3">
                  <c:v>1355</c:v>
                </c:pt>
                <c:pt idx="4">
                  <c:v>220</c:v>
                </c:pt>
                <c:pt idx="5">
                  <c:v>87</c:v>
                </c:pt>
              </c:numCache>
            </c:numRef>
          </c:val>
          <c:extLst>
            <c:ext xmlns:c16="http://schemas.microsoft.com/office/drawing/2014/chart" uri="{C3380CC4-5D6E-409C-BE32-E72D297353CC}">
              <c16:uniqueId val="{0000000A-6167-41AB-B777-834D1CBCEC5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533278077082469E-2"/>
          <c:y val="5.0925925925925923E-2"/>
          <c:w val="0.45063019754109684"/>
          <c:h val="0.85026975794692328"/>
        </c:manualLayout>
      </c:layout>
      <c:barChart>
        <c:barDir val="bar"/>
        <c:grouping val="clustered"/>
        <c:varyColors val="1"/>
        <c:ser>
          <c:idx val="0"/>
          <c:order val="0"/>
          <c:tx>
            <c:strRef>
              <c:f>'Richesse et échanges'!$A$12</c:f>
              <c:strCache>
                <c:ptCount val="1"/>
                <c:pt idx="0">
                  <c:v>Nouvelle-Aquitaine</c:v>
                </c:pt>
              </c:strCache>
            </c:strRef>
          </c:tx>
          <c:invertIfNegative val="0"/>
          <c:cat>
            <c:strRef>
              <c:f>'Richesse et échanges'!$B$11:$M$11</c:f>
              <c:strCache>
                <c:ptCount val="12"/>
                <c:pt idx="0">
                  <c:v>Agriculture, sylviculture et pêche</c:v>
                </c:pt>
                <c:pt idx="1">
                  <c:v>Industries manufacturières, extractives et autres</c:v>
                </c:pt>
                <c:pt idx="2">
                  <c:v>Construction</c:v>
                </c:pt>
                <c:pt idx="3">
                  <c:v>Commerce, réparation d'auto /moto</c:v>
                </c:pt>
                <c:pt idx="4">
                  <c:v>Transport et entreposage</c:v>
                </c:pt>
                <c:pt idx="5">
                  <c:v>Hébergement et restauration</c:v>
                </c:pt>
                <c:pt idx="6">
                  <c:v>Information et communication</c:v>
                </c:pt>
                <c:pt idx="7">
                  <c:v>Activités financières et d'assurance</c:v>
                </c:pt>
                <c:pt idx="8">
                  <c:v>Activités immobilières</c:v>
                </c:pt>
                <c:pt idx="9">
                  <c:v>Activités scientif et techn; services admin et de soutien</c:v>
                </c:pt>
                <c:pt idx="10">
                  <c:v>Administration pub, enseignement, santé, action sociale</c:v>
                </c:pt>
                <c:pt idx="11">
                  <c:v>Autres activités de services</c:v>
                </c:pt>
              </c:strCache>
            </c:strRef>
          </c:cat>
          <c:val>
            <c:numRef>
              <c:f>'Richesse et échanges'!$B$12:$M$12</c:f>
              <c:numCache>
                <c:formatCode>General</c:formatCode>
                <c:ptCount val="12"/>
                <c:pt idx="0">
                  <c:v>3.3480726363508975</c:v>
                </c:pt>
                <c:pt idx="1">
                  <c:v>0.98409258126977972</c:v>
                </c:pt>
                <c:pt idx="2">
                  <c:v>1.1022046108935823</c:v>
                </c:pt>
                <c:pt idx="3">
                  <c:v>0.95332117680706219</c:v>
                </c:pt>
                <c:pt idx="4">
                  <c:v>0.91559337354069659</c:v>
                </c:pt>
                <c:pt idx="5">
                  <c:v>1.0314733945723034</c:v>
                </c:pt>
                <c:pt idx="6">
                  <c:v>0.44300271388204332</c:v>
                </c:pt>
                <c:pt idx="7">
                  <c:v>0.81880173004023704</c:v>
                </c:pt>
                <c:pt idx="8">
                  <c:v>1.0191693292893003</c:v>
                </c:pt>
                <c:pt idx="9">
                  <c:v>0.69142812938699272</c:v>
                </c:pt>
                <c:pt idx="10">
                  <c:v>1.1613957088497813</c:v>
                </c:pt>
                <c:pt idx="11">
                  <c:v>1.0406402818982285</c:v>
                </c:pt>
              </c:numCache>
            </c:numRef>
          </c:val>
          <c:extLst>
            <c:ext xmlns:c16="http://schemas.microsoft.com/office/drawing/2014/chart" uri="{C3380CC4-5D6E-409C-BE32-E72D297353CC}">
              <c16:uniqueId val="{00000000-1047-4DDA-9B68-42157DF60843}"/>
            </c:ext>
          </c:extLst>
        </c:ser>
        <c:dLbls>
          <c:showLegendKey val="0"/>
          <c:showVal val="0"/>
          <c:showCatName val="0"/>
          <c:showSerName val="0"/>
          <c:showPercent val="0"/>
          <c:showBubbleSize val="0"/>
        </c:dLbls>
        <c:gapWidth val="150"/>
        <c:axId val="340534016"/>
        <c:axId val="340535552"/>
      </c:barChart>
      <c:catAx>
        <c:axId val="340534016"/>
        <c:scaling>
          <c:orientation val="minMax"/>
        </c:scaling>
        <c:delete val="0"/>
        <c:axPos val="l"/>
        <c:numFmt formatCode="General" sourceLinked="0"/>
        <c:majorTickMark val="out"/>
        <c:minorTickMark val="none"/>
        <c:tickLblPos val="high"/>
        <c:txPr>
          <a:bodyPr/>
          <a:lstStyle/>
          <a:p>
            <a:pPr>
              <a:defRPr sz="700"/>
            </a:pPr>
            <a:endParaRPr lang="fr-FR"/>
          </a:p>
        </c:txPr>
        <c:crossAx val="340535552"/>
        <c:crossesAt val="1"/>
        <c:auto val="1"/>
        <c:lblAlgn val="ctr"/>
        <c:lblOffset val="100"/>
        <c:noMultiLvlLbl val="0"/>
      </c:catAx>
      <c:valAx>
        <c:axId val="340535552"/>
        <c:scaling>
          <c:orientation val="minMax"/>
          <c:max val="3.5"/>
        </c:scaling>
        <c:delete val="0"/>
        <c:axPos val="b"/>
        <c:majorGridlines/>
        <c:numFmt formatCode="General" sourceLinked="1"/>
        <c:majorTickMark val="out"/>
        <c:minorTickMark val="none"/>
        <c:tickLblPos val="nextTo"/>
        <c:txPr>
          <a:bodyPr/>
          <a:lstStyle/>
          <a:p>
            <a:pPr>
              <a:defRPr sz="800"/>
            </a:pPr>
            <a:endParaRPr lang="fr-FR"/>
          </a:p>
        </c:txPr>
        <c:crossAx val="340534016"/>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1"/>
        <c:ser>
          <c:idx val="0"/>
          <c:order val="0"/>
          <c:tx>
            <c:strRef>
              <c:f>'Richesse et échanges'!$A$13</c:f>
              <c:strCache>
                <c:ptCount val="1"/>
                <c:pt idx="0">
                  <c:v>Occitanie</c:v>
                </c:pt>
              </c:strCache>
            </c:strRef>
          </c:tx>
          <c:invertIfNegative val="0"/>
          <c:val>
            <c:numRef>
              <c:f>'Richesse et échanges'!$B$13:$M$13</c:f>
              <c:numCache>
                <c:formatCode>General</c:formatCode>
                <c:ptCount val="12"/>
                <c:pt idx="0">
                  <c:v>0.9389211009612366</c:v>
                </c:pt>
                <c:pt idx="1">
                  <c:v>0.96513627949349123</c:v>
                </c:pt>
                <c:pt idx="2">
                  <c:v>1.1110000672220741</c:v>
                </c:pt>
                <c:pt idx="3">
                  <c:v>0.99655770371142205</c:v>
                </c:pt>
                <c:pt idx="4">
                  <c:v>0.83354255961276191</c:v>
                </c:pt>
                <c:pt idx="5">
                  <c:v>1.0638087568273986</c:v>
                </c:pt>
                <c:pt idx="6">
                  <c:v>0.70248895604277717</c:v>
                </c:pt>
                <c:pt idx="7">
                  <c:v>0.62551373189686144</c:v>
                </c:pt>
                <c:pt idx="8">
                  <c:v>1.0310971851085304</c:v>
                </c:pt>
                <c:pt idx="9">
                  <c:v>0.90993347461743113</c:v>
                </c:pt>
                <c:pt idx="10">
                  <c:v>1.1992448218759346</c:v>
                </c:pt>
                <c:pt idx="11">
                  <c:v>1.0451040982771145</c:v>
                </c:pt>
              </c:numCache>
            </c:numRef>
          </c:val>
          <c:extLst>
            <c:ext xmlns:c16="http://schemas.microsoft.com/office/drawing/2014/chart" uri="{C3380CC4-5D6E-409C-BE32-E72D297353CC}">
              <c16:uniqueId val="{00000000-7C09-47C7-98CA-8A21DA8F8FFB}"/>
            </c:ext>
          </c:extLst>
        </c:ser>
        <c:dLbls>
          <c:showLegendKey val="0"/>
          <c:showVal val="0"/>
          <c:showCatName val="0"/>
          <c:showSerName val="0"/>
          <c:showPercent val="0"/>
          <c:showBubbleSize val="0"/>
        </c:dLbls>
        <c:gapWidth val="150"/>
        <c:axId val="340563840"/>
        <c:axId val="340565376"/>
      </c:barChart>
      <c:catAx>
        <c:axId val="340563840"/>
        <c:scaling>
          <c:orientation val="minMax"/>
        </c:scaling>
        <c:delete val="0"/>
        <c:axPos val="l"/>
        <c:majorTickMark val="out"/>
        <c:minorTickMark val="none"/>
        <c:tickLblPos val="none"/>
        <c:crossAx val="340565376"/>
        <c:crossesAt val="1"/>
        <c:auto val="1"/>
        <c:lblAlgn val="ctr"/>
        <c:lblOffset val="100"/>
        <c:noMultiLvlLbl val="0"/>
      </c:catAx>
      <c:valAx>
        <c:axId val="340565376"/>
        <c:scaling>
          <c:orientation val="minMax"/>
          <c:max val="3.5"/>
        </c:scaling>
        <c:delete val="0"/>
        <c:axPos val="b"/>
        <c:majorGridlines/>
        <c:numFmt formatCode="General" sourceLinked="1"/>
        <c:majorTickMark val="out"/>
        <c:minorTickMark val="none"/>
        <c:tickLblPos val="nextTo"/>
        <c:txPr>
          <a:bodyPr/>
          <a:lstStyle/>
          <a:p>
            <a:pPr>
              <a:defRPr sz="800"/>
            </a:pPr>
            <a:endParaRPr lang="fr-FR"/>
          </a:p>
        </c:txPr>
        <c:crossAx val="340563840"/>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5.1400554097404488E-2"/>
          <c:w val="0.71951268591426076"/>
          <c:h val="0.75831000291630213"/>
        </c:manualLayout>
      </c:layout>
      <c:barChart>
        <c:barDir val="col"/>
        <c:grouping val="clustered"/>
        <c:varyColors val="0"/>
        <c:ser>
          <c:idx val="0"/>
          <c:order val="0"/>
          <c:tx>
            <c:strRef>
              <c:f>'Richesse et échanges'!$A$65</c:f>
              <c:strCache>
                <c:ptCount val="1"/>
                <c:pt idx="0">
                  <c:v>Export</c:v>
                </c:pt>
              </c:strCache>
            </c:strRef>
          </c:tx>
          <c:invertIfNegative val="0"/>
          <c:dLbls>
            <c:numFmt formatCode="#,##0" sourceLinked="0"/>
            <c:spPr>
              <a:noFill/>
              <a:ln>
                <a:noFill/>
              </a:ln>
              <a:effectLst/>
            </c:spPr>
            <c:txPr>
              <a:bodyPr/>
              <a:lstStyle/>
              <a:p>
                <a:pPr>
                  <a:defRPr sz="8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('Richesse et échanges'!$B$62,'Richesse et échanges'!$D$62,'Richesse et échanges'!$F$62,'Richesse et échanges'!$H$62)</c:f>
              <c:numCache>
                <c:formatCode>General</c:formatCode>
                <c:ptCount val="4"/>
                <c:pt idx="0">
                  <c:v>2014</c:v>
                </c:pt>
                <c:pt idx="1">
                  <c:v>2015</c:v>
                </c:pt>
                <c:pt idx="2">
                  <c:v>2016</c:v>
                </c:pt>
                <c:pt idx="3">
                  <c:v>2017</c:v>
                </c:pt>
              </c:numCache>
            </c:numRef>
          </c:cat>
          <c:val>
            <c:numRef>
              <c:f>('Richesse et échanges'!$B$63,'Richesse et échanges'!$D$63,'Richesse et échanges'!$F$63,'Richesse et échanges'!$H$63)</c:f>
              <c:numCache>
                <c:formatCode>General</c:formatCode>
                <c:ptCount val="4"/>
                <c:pt idx="0">
                  <c:v>6375</c:v>
                </c:pt>
                <c:pt idx="1">
                  <c:v>6852</c:v>
                </c:pt>
                <c:pt idx="2">
                  <c:v>6691.3166689999998</c:v>
                </c:pt>
                <c:pt idx="3">
                  <c:v>7002.141466</c:v>
                </c:pt>
              </c:numCache>
            </c:numRef>
          </c:val>
          <c:extLst>
            <c:ext xmlns:c16="http://schemas.microsoft.com/office/drawing/2014/chart" uri="{C3380CC4-5D6E-409C-BE32-E72D297353CC}">
              <c16:uniqueId val="{00000000-F01C-469D-A0E5-BC4ED0454D1E}"/>
            </c:ext>
          </c:extLst>
        </c:ser>
        <c:ser>
          <c:idx val="1"/>
          <c:order val="1"/>
          <c:tx>
            <c:strRef>
              <c:f>'Richesse et échanges'!$B$65</c:f>
              <c:strCache>
                <c:ptCount val="1"/>
                <c:pt idx="0">
                  <c:v>Import</c:v>
                </c:pt>
              </c:strCache>
            </c:strRef>
          </c:tx>
          <c:invertIfNegative val="0"/>
          <c:dLbls>
            <c:numFmt formatCode="#,##0" sourceLinked="0"/>
            <c:spPr>
              <a:noFill/>
              <a:ln>
                <a:noFill/>
              </a:ln>
              <a:effectLst/>
            </c:spPr>
            <c:txPr>
              <a:bodyPr/>
              <a:lstStyle/>
              <a:p>
                <a:pPr>
                  <a:defRPr sz="8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('Richesse et échanges'!$B$62,'Richesse et échanges'!$D$62,'Richesse et échanges'!$F$62,'Richesse et échanges'!$H$62)</c:f>
              <c:numCache>
                <c:formatCode>General</c:formatCode>
                <c:ptCount val="4"/>
                <c:pt idx="0">
                  <c:v>2014</c:v>
                </c:pt>
                <c:pt idx="1">
                  <c:v>2015</c:v>
                </c:pt>
                <c:pt idx="2">
                  <c:v>2016</c:v>
                </c:pt>
                <c:pt idx="3">
                  <c:v>2017</c:v>
                </c:pt>
              </c:numCache>
            </c:numRef>
          </c:cat>
          <c:val>
            <c:numRef>
              <c:f>('Richesse et échanges'!$C$63,'Richesse et échanges'!$E$63,'Richesse et échanges'!$G$63,'Richesse et échanges'!$I$63)</c:f>
              <c:numCache>
                <c:formatCode>General</c:formatCode>
                <c:ptCount val="4"/>
                <c:pt idx="0">
                  <c:v>-7099</c:v>
                </c:pt>
                <c:pt idx="1">
                  <c:v>-6906</c:v>
                </c:pt>
                <c:pt idx="2">
                  <c:v>-7278.8395309999996</c:v>
                </c:pt>
                <c:pt idx="3">
                  <c:v>-7472.6676930000003</c:v>
                </c:pt>
              </c:numCache>
            </c:numRef>
          </c:val>
          <c:extLst>
            <c:ext xmlns:c16="http://schemas.microsoft.com/office/drawing/2014/chart" uri="{C3380CC4-5D6E-409C-BE32-E72D297353CC}">
              <c16:uniqueId val="{00000001-F01C-469D-A0E5-BC4ED0454D1E}"/>
            </c:ext>
          </c:extLst>
        </c:ser>
        <c:dLbls>
          <c:showLegendKey val="0"/>
          <c:showVal val="0"/>
          <c:showCatName val="0"/>
          <c:showSerName val="0"/>
          <c:showPercent val="0"/>
          <c:showBubbleSize val="0"/>
        </c:dLbls>
        <c:gapWidth val="150"/>
        <c:overlap val="100"/>
        <c:axId val="343876736"/>
        <c:axId val="343878272"/>
      </c:barChart>
      <c:catAx>
        <c:axId val="343876736"/>
        <c:scaling>
          <c:orientation val="minMax"/>
        </c:scaling>
        <c:delete val="0"/>
        <c:axPos val="b"/>
        <c:numFmt formatCode="General" sourceLinked="1"/>
        <c:majorTickMark val="out"/>
        <c:minorTickMark val="none"/>
        <c:tickLblPos val="low"/>
        <c:txPr>
          <a:bodyPr/>
          <a:lstStyle/>
          <a:p>
            <a:pPr>
              <a:defRPr sz="900"/>
            </a:pPr>
            <a:endParaRPr lang="fr-FR"/>
          </a:p>
        </c:txPr>
        <c:crossAx val="343878272"/>
        <c:crosses val="autoZero"/>
        <c:auto val="1"/>
        <c:lblAlgn val="ctr"/>
        <c:lblOffset val="100"/>
        <c:noMultiLvlLbl val="0"/>
      </c:catAx>
      <c:valAx>
        <c:axId val="343878272"/>
        <c:scaling>
          <c:orientation val="minMax"/>
          <c:max val="50000"/>
          <c:min val="-40000"/>
        </c:scaling>
        <c:delete val="0"/>
        <c:axPos val="l"/>
        <c:majorGridlines/>
        <c:numFmt formatCode="General" sourceLinked="1"/>
        <c:majorTickMark val="out"/>
        <c:minorTickMark val="none"/>
        <c:tickLblPos val="nextTo"/>
        <c:txPr>
          <a:bodyPr/>
          <a:lstStyle/>
          <a:p>
            <a:pPr>
              <a:defRPr sz="800"/>
            </a:pPr>
            <a:endParaRPr lang="fr-FR"/>
          </a:p>
        </c:txPr>
        <c:crossAx val="343876736"/>
        <c:crosses val="autoZero"/>
        <c:crossBetween val="between"/>
      </c:valAx>
    </c:plotArea>
    <c:legend>
      <c:legendPos val="r"/>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5.1400554097404488E-2"/>
          <c:w val="0.87281036394514855"/>
          <c:h val="0.81176208155490892"/>
        </c:manualLayout>
      </c:layout>
      <c:barChart>
        <c:barDir val="col"/>
        <c:grouping val="clustered"/>
        <c:varyColors val="0"/>
        <c:ser>
          <c:idx val="0"/>
          <c:order val="0"/>
          <c:tx>
            <c:strRef>
              <c:f>'Richesse et échanges'!$A$65</c:f>
              <c:strCache>
                <c:ptCount val="1"/>
                <c:pt idx="0">
                  <c:v>Export</c:v>
                </c:pt>
              </c:strCache>
            </c:strRef>
          </c:tx>
          <c:invertIfNegative val="0"/>
          <c:dLbls>
            <c:numFmt formatCode="#,##0" sourceLinked="0"/>
            <c:spPr>
              <a:noFill/>
              <a:ln>
                <a:noFill/>
              </a:ln>
              <a:effectLst/>
            </c:spPr>
            <c:txPr>
              <a:bodyPr/>
              <a:lstStyle/>
              <a:p>
                <a:pPr>
                  <a:defRPr sz="8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('Richesse et échanges'!$B$62,'Richesse et échanges'!$D$62,'Richesse et échanges'!$F$62,'Richesse et échanges'!$H$62)</c:f>
              <c:numCache>
                <c:formatCode>General</c:formatCode>
                <c:ptCount val="4"/>
                <c:pt idx="0">
                  <c:v>2014</c:v>
                </c:pt>
                <c:pt idx="1">
                  <c:v>2015</c:v>
                </c:pt>
                <c:pt idx="2">
                  <c:v>2016</c:v>
                </c:pt>
                <c:pt idx="3">
                  <c:v>2017</c:v>
                </c:pt>
              </c:numCache>
            </c:numRef>
          </c:cat>
          <c:val>
            <c:numRef>
              <c:f>('Richesse et échanges'!$B$64,'Richesse et échanges'!$D$64,'Richesse et échanges'!$F$64,'Richesse et échanges'!$H$64)</c:f>
              <c:numCache>
                <c:formatCode>General</c:formatCode>
                <c:ptCount val="4"/>
                <c:pt idx="0">
                  <c:v>41085</c:v>
                </c:pt>
                <c:pt idx="1">
                  <c:v>44666</c:v>
                </c:pt>
                <c:pt idx="2">
                  <c:v>31792.364573999999</c:v>
                </c:pt>
                <c:pt idx="3">
                  <c:v>41241.919608999997</c:v>
                </c:pt>
              </c:numCache>
            </c:numRef>
          </c:val>
          <c:extLst>
            <c:ext xmlns:c16="http://schemas.microsoft.com/office/drawing/2014/chart" uri="{C3380CC4-5D6E-409C-BE32-E72D297353CC}">
              <c16:uniqueId val="{00000000-781F-4570-9B85-5C5D71817E69}"/>
            </c:ext>
          </c:extLst>
        </c:ser>
        <c:ser>
          <c:idx val="1"/>
          <c:order val="1"/>
          <c:tx>
            <c:strRef>
              <c:f>'Richesse et échanges'!$B$65</c:f>
              <c:strCache>
                <c:ptCount val="1"/>
                <c:pt idx="0">
                  <c:v>Import</c:v>
                </c:pt>
              </c:strCache>
            </c:strRef>
          </c:tx>
          <c:invertIfNegative val="0"/>
          <c:dLbls>
            <c:numFmt formatCode="#,##0_ ;\-#,##0\ " sourceLinked="0"/>
            <c:spPr>
              <a:noFill/>
              <a:ln>
                <a:noFill/>
              </a:ln>
              <a:effectLst/>
            </c:spPr>
            <c:txPr>
              <a:bodyPr/>
              <a:lstStyle/>
              <a:p>
                <a:pPr>
                  <a:defRPr sz="8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('Richesse et échanges'!$B$62,'Richesse et échanges'!$D$62,'Richesse et échanges'!$F$62,'Richesse et échanges'!$H$62)</c:f>
              <c:numCache>
                <c:formatCode>General</c:formatCode>
                <c:ptCount val="4"/>
                <c:pt idx="0">
                  <c:v>2014</c:v>
                </c:pt>
                <c:pt idx="1">
                  <c:v>2015</c:v>
                </c:pt>
                <c:pt idx="2">
                  <c:v>2016</c:v>
                </c:pt>
                <c:pt idx="3">
                  <c:v>2017</c:v>
                </c:pt>
              </c:numCache>
            </c:numRef>
          </c:cat>
          <c:val>
            <c:numRef>
              <c:f>('Richesse et échanges'!$C$64,'Richesse et échanges'!$E$64,'Richesse et échanges'!$G$64,'Richesse et échanges'!$I$64)</c:f>
              <c:numCache>
                <c:formatCode>General</c:formatCode>
                <c:ptCount val="4"/>
                <c:pt idx="0">
                  <c:v>-28593</c:v>
                </c:pt>
                <c:pt idx="1">
                  <c:v>-30992</c:v>
                </c:pt>
                <c:pt idx="2">
                  <c:v>-18416.61738</c:v>
                </c:pt>
                <c:pt idx="3">
                  <c:v>-31184.532310999999</c:v>
                </c:pt>
              </c:numCache>
            </c:numRef>
          </c:val>
          <c:extLst>
            <c:ext xmlns:c16="http://schemas.microsoft.com/office/drawing/2014/chart" uri="{C3380CC4-5D6E-409C-BE32-E72D297353CC}">
              <c16:uniqueId val="{00000001-781F-4570-9B85-5C5D71817E69}"/>
            </c:ext>
          </c:extLst>
        </c:ser>
        <c:dLbls>
          <c:showLegendKey val="0"/>
          <c:showVal val="0"/>
          <c:showCatName val="0"/>
          <c:showSerName val="0"/>
          <c:showPercent val="0"/>
          <c:showBubbleSize val="0"/>
        </c:dLbls>
        <c:gapWidth val="150"/>
        <c:overlap val="100"/>
        <c:axId val="343925504"/>
        <c:axId val="343927040"/>
      </c:barChart>
      <c:catAx>
        <c:axId val="343925504"/>
        <c:scaling>
          <c:orientation val="minMax"/>
        </c:scaling>
        <c:delete val="0"/>
        <c:axPos val="b"/>
        <c:numFmt formatCode="General" sourceLinked="1"/>
        <c:majorTickMark val="out"/>
        <c:minorTickMark val="none"/>
        <c:tickLblPos val="low"/>
        <c:txPr>
          <a:bodyPr/>
          <a:lstStyle/>
          <a:p>
            <a:pPr>
              <a:defRPr sz="900"/>
            </a:pPr>
            <a:endParaRPr lang="fr-FR"/>
          </a:p>
        </c:txPr>
        <c:crossAx val="343927040"/>
        <c:crosses val="autoZero"/>
        <c:auto val="1"/>
        <c:lblAlgn val="ctr"/>
        <c:lblOffset val="100"/>
        <c:noMultiLvlLbl val="0"/>
      </c:catAx>
      <c:valAx>
        <c:axId val="343927040"/>
        <c:scaling>
          <c:orientation val="minMax"/>
          <c:max val="50000"/>
          <c:min val="-40000"/>
        </c:scaling>
        <c:delete val="0"/>
        <c:axPos val="l"/>
        <c:majorGridlines/>
        <c:numFmt formatCode="General" sourceLinked="1"/>
        <c:majorTickMark val="out"/>
        <c:minorTickMark val="none"/>
        <c:tickLblPos val="nextTo"/>
        <c:txPr>
          <a:bodyPr/>
          <a:lstStyle/>
          <a:p>
            <a:pPr>
              <a:defRPr sz="800"/>
            </a:pPr>
            <a:endParaRPr lang="fr-FR"/>
          </a:p>
        </c:txPr>
        <c:crossAx val="34392550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6"/>
          <c:order val="0"/>
          <c:tx>
            <c:strRef>
              <c:f>'D_Ch4-2'!$A$35</c:f>
              <c:strCache>
                <c:ptCount val="1"/>
                <c:pt idx="0">
                  <c:v>Paris Charles de Gaulle </c:v>
                </c:pt>
              </c:strCache>
            </c:strRef>
          </c:tx>
          <c:marker>
            <c:symbol val="none"/>
          </c:marker>
          <c:cat>
            <c:numRef>
              <c:f>'D_Ch4-2'!$B$34:$G$34</c:f>
              <c:numCache>
                <c:formatCode>#,##0</c:formatCode>
                <c:ptCount val="6"/>
                <c:pt idx="0">
                  <c:v>2012</c:v>
                </c:pt>
                <c:pt idx="1">
                  <c:v>2013</c:v>
                </c:pt>
                <c:pt idx="2">
                  <c:v>2014</c:v>
                </c:pt>
                <c:pt idx="3">
                  <c:v>2015</c:v>
                </c:pt>
                <c:pt idx="4">
                  <c:v>2016</c:v>
                </c:pt>
                <c:pt idx="5">
                  <c:v>2017</c:v>
                </c:pt>
              </c:numCache>
            </c:numRef>
          </c:cat>
          <c:val>
            <c:numRef>
              <c:f>'D_Ch4-2'!$B$35:$G$35</c:f>
              <c:numCache>
                <c:formatCode>General</c:formatCode>
                <c:ptCount val="6"/>
                <c:pt idx="0">
                  <c:v>100</c:v>
                </c:pt>
                <c:pt idx="1">
                  <c:v>100.80692925141807</c:v>
                </c:pt>
                <c:pt idx="2">
                  <c:v>103.66746798316116</c:v>
                </c:pt>
                <c:pt idx="3">
                  <c:v>106.84055198857136</c:v>
                </c:pt>
                <c:pt idx="4">
                  <c:v>107.11048254731506</c:v>
                </c:pt>
                <c:pt idx="5">
                  <c:v>112.85855810272376</c:v>
                </c:pt>
              </c:numCache>
            </c:numRef>
          </c:val>
          <c:smooth val="0"/>
          <c:extLst>
            <c:ext xmlns:c16="http://schemas.microsoft.com/office/drawing/2014/chart" uri="{C3380CC4-5D6E-409C-BE32-E72D297353CC}">
              <c16:uniqueId val="{00000000-26A9-454D-8E2A-5E7BB49FCEA4}"/>
            </c:ext>
          </c:extLst>
        </c:ser>
        <c:ser>
          <c:idx val="9"/>
          <c:order val="1"/>
          <c:tx>
            <c:strRef>
              <c:f>'D_Ch4-2'!$A$36</c:f>
              <c:strCache>
                <c:ptCount val="1"/>
                <c:pt idx="0">
                  <c:v>Paris - Orly </c:v>
                </c:pt>
              </c:strCache>
            </c:strRef>
          </c:tx>
          <c:marker>
            <c:symbol val="none"/>
          </c:marker>
          <c:cat>
            <c:numRef>
              <c:f>'D_Ch4-2'!$B$34:$G$34</c:f>
              <c:numCache>
                <c:formatCode>#,##0</c:formatCode>
                <c:ptCount val="6"/>
                <c:pt idx="0">
                  <c:v>2012</c:v>
                </c:pt>
                <c:pt idx="1">
                  <c:v>2013</c:v>
                </c:pt>
                <c:pt idx="2">
                  <c:v>2014</c:v>
                </c:pt>
                <c:pt idx="3">
                  <c:v>2015</c:v>
                </c:pt>
                <c:pt idx="4">
                  <c:v>2016</c:v>
                </c:pt>
                <c:pt idx="5">
                  <c:v>2017</c:v>
                </c:pt>
              </c:numCache>
            </c:numRef>
          </c:cat>
          <c:val>
            <c:numRef>
              <c:f>'D_Ch4-2'!$B$36:$G$36</c:f>
              <c:numCache>
                <c:formatCode>General</c:formatCode>
                <c:ptCount val="6"/>
                <c:pt idx="0">
                  <c:v>100</c:v>
                </c:pt>
                <c:pt idx="1">
                  <c:v>103.82594351413248</c:v>
                </c:pt>
                <c:pt idx="2">
                  <c:v>105.98673345656218</c:v>
                </c:pt>
                <c:pt idx="3">
                  <c:v>108.93326419475311</c:v>
                </c:pt>
                <c:pt idx="4">
                  <c:v>114.70903097550138</c:v>
                </c:pt>
                <c:pt idx="5">
                  <c:v>117.66365138292032</c:v>
                </c:pt>
              </c:numCache>
            </c:numRef>
          </c:val>
          <c:smooth val="0"/>
          <c:extLst>
            <c:ext xmlns:c16="http://schemas.microsoft.com/office/drawing/2014/chart" uri="{C3380CC4-5D6E-409C-BE32-E72D297353CC}">
              <c16:uniqueId val="{00000001-26A9-454D-8E2A-5E7BB49FCEA4}"/>
            </c:ext>
          </c:extLst>
        </c:ser>
        <c:ser>
          <c:idx val="8"/>
          <c:order val="2"/>
          <c:tx>
            <c:strRef>
              <c:f>'D_Ch4-2'!$A$37</c:f>
              <c:strCache>
                <c:ptCount val="1"/>
                <c:pt idx="0">
                  <c:v>Nice Côte d'Azur </c:v>
                </c:pt>
              </c:strCache>
            </c:strRef>
          </c:tx>
          <c:spPr>
            <a:ln>
              <a:solidFill>
                <a:schemeClr val="tx1">
                  <a:lumMod val="75000"/>
                  <a:lumOff val="25000"/>
                </a:schemeClr>
              </a:solidFill>
            </a:ln>
          </c:spPr>
          <c:marker>
            <c:symbol val="none"/>
          </c:marker>
          <c:cat>
            <c:numRef>
              <c:f>'D_Ch4-2'!$B$34:$G$34</c:f>
              <c:numCache>
                <c:formatCode>#,##0</c:formatCode>
                <c:ptCount val="6"/>
                <c:pt idx="0">
                  <c:v>2012</c:v>
                </c:pt>
                <c:pt idx="1">
                  <c:v>2013</c:v>
                </c:pt>
                <c:pt idx="2">
                  <c:v>2014</c:v>
                </c:pt>
                <c:pt idx="3">
                  <c:v>2015</c:v>
                </c:pt>
                <c:pt idx="4">
                  <c:v>2016</c:v>
                </c:pt>
                <c:pt idx="5">
                  <c:v>2017</c:v>
                </c:pt>
              </c:numCache>
            </c:numRef>
          </c:cat>
          <c:val>
            <c:numRef>
              <c:f>'D_Ch4-2'!$B$37:$G$37</c:f>
              <c:numCache>
                <c:formatCode>General</c:formatCode>
                <c:ptCount val="6"/>
                <c:pt idx="0">
                  <c:v>100</c:v>
                </c:pt>
                <c:pt idx="1">
                  <c:v>103.25610711663451</c:v>
                </c:pt>
                <c:pt idx="2">
                  <c:v>104.2030059975535</c:v>
                </c:pt>
                <c:pt idx="3">
                  <c:v>107.38911246360109</c:v>
                </c:pt>
                <c:pt idx="4">
                  <c:v>111.0593610521492</c:v>
                </c:pt>
                <c:pt idx="5">
                  <c:v>118.89996117926387</c:v>
                </c:pt>
              </c:numCache>
            </c:numRef>
          </c:val>
          <c:smooth val="0"/>
          <c:extLst>
            <c:ext xmlns:c16="http://schemas.microsoft.com/office/drawing/2014/chart" uri="{C3380CC4-5D6E-409C-BE32-E72D297353CC}">
              <c16:uniqueId val="{00000002-26A9-454D-8E2A-5E7BB49FCEA4}"/>
            </c:ext>
          </c:extLst>
        </c:ser>
        <c:ser>
          <c:idx val="7"/>
          <c:order val="3"/>
          <c:tx>
            <c:strRef>
              <c:f>'D_Ch4-2'!$A$38</c:f>
              <c:strCache>
                <c:ptCount val="1"/>
                <c:pt idx="0">
                  <c:v>Lyon-Saint Exupéry </c:v>
                </c:pt>
              </c:strCache>
            </c:strRef>
          </c:tx>
          <c:spPr>
            <a:ln>
              <a:solidFill>
                <a:srgbClr val="EE4726"/>
              </a:solidFill>
            </a:ln>
          </c:spPr>
          <c:marker>
            <c:symbol val="none"/>
          </c:marker>
          <c:cat>
            <c:numRef>
              <c:f>'D_Ch4-2'!$B$34:$G$34</c:f>
              <c:numCache>
                <c:formatCode>#,##0</c:formatCode>
                <c:ptCount val="6"/>
                <c:pt idx="0">
                  <c:v>2012</c:v>
                </c:pt>
                <c:pt idx="1">
                  <c:v>2013</c:v>
                </c:pt>
                <c:pt idx="2">
                  <c:v>2014</c:v>
                </c:pt>
                <c:pt idx="3">
                  <c:v>2015</c:v>
                </c:pt>
                <c:pt idx="4">
                  <c:v>2016</c:v>
                </c:pt>
                <c:pt idx="5">
                  <c:v>2017</c:v>
                </c:pt>
              </c:numCache>
            </c:numRef>
          </c:cat>
          <c:val>
            <c:numRef>
              <c:f>'D_Ch4-2'!$B$38:$G$38</c:f>
              <c:numCache>
                <c:formatCode>General</c:formatCode>
                <c:ptCount val="6"/>
                <c:pt idx="0">
                  <c:v>100</c:v>
                </c:pt>
                <c:pt idx="1">
                  <c:v>101.31651267968354</c:v>
                </c:pt>
                <c:pt idx="2">
                  <c:v>100.18996480787747</c:v>
                </c:pt>
                <c:pt idx="3">
                  <c:v>102.98560922509054</c:v>
                </c:pt>
                <c:pt idx="4">
                  <c:v>113.04231349541753</c:v>
                </c:pt>
                <c:pt idx="5">
                  <c:v>121.64411973486338</c:v>
                </c:pt>
              </c:numCache>
            </c:numRef>
          </c:val>
          <c:smooth val="0"/>
          <c:extLst>
            <c:ext xmlns:c16="http://schemas.microsoft.com/office/drawing/2014/chart" uri="{C3380CC4-5D6E-409C-BE32-E72D297353CC}">
              <c16:uniqueId val="{00000003-26A9-454D-8E2A-5E7BB49FCEA4}"/>
            </c:ext>
          </c:extLst>
        </c:ser>
        <c:ser>
          <c:idx val="2"/>
          <c:order val="4"/>
          <c:tx>
            <c:strRef>
              <c:f>'D_Ch4-2'!$A$39</c:f>
              <c:strCache>
                <c:ptCount val="1"/>
                <c:pt idx="0">
                  <c:v>Marseille Provence</c:v>
                </c:pt>
              </c:strCache>
            </c:strRef>
          </c:tx>
          <c:marker>
            <c:symbol val="none"/>
          </c:marker>
          <c:cat>
            <c:numRef>
              <c:f>'D_Ch4-2'!$B$34:$G$34</c:f>
              <c:numCache>
                <c:formatCode>#,##0</c:formatCode>
                <c:ptCount val="6"/>
                <c:pt idx="0">
                  <c:v>2012</c:v>
                </c:pt>
                <c:pt idx="1">
                  <c:v>2013</c:v>
                </c:pt>
                <c:pt idx="2">
                  <c:v>2014</c:v>
                </c:pt>
                <c:pt idx="3">
                  <c:v>2015</c:v>
                </c:pt>
                <c:pt idx="4">
                  <c:v>2016</c:v>
                </c:pt>
                <c:pt idx="5">
                  <c:v>2017</c:v>
                </c:pt>
              </c:numCache>
            </c:numRef>
          </c:cat>
          <c:val>
            <c:numRef>
              <c:f>'D_Ch4-2'!$B$39:$G$39</c:f>
              <c:numCache>
                <c:formatCode>General</c:formatCode>
                <c:ptCount val="6"/>
                <c:pt idx="0">
                  <c:v>100</c:v>
                </c:pt>
                <c:pt idx="1">
                  <c:v>99.579771101825472</c:v>
                </c:pt>
                <c:pt idx="2">
                  <c:v>98.634894983158887</c:v>
                </c:pt>
                <c:pt idx="3">
                  <c:v>99.594055991221239</c:v>
                </c:pt>
                <c:pt idx="4">
                  <c:v>102.17383468754487</c:v>
                </c:pt>
                <c:pt idx="5">
                  <c:v>108.51797708125113</c:v>
                </c:pt>
              </c:numCache>
            </c:numRef>
          </c:val>
          <c:smooth val="0"/>
          <c:extLst>
            <c:ext xmlns:c16="http://schemas.microsoft.com/office/drawing/2014/chart" uri="{C3380CC4-5D6E-409C-BE32-E72D297353CC}">
              <c16:uniqueId val="{00000004-26A9-454D-8E2A-5E7BB49FCEA4}"/>
            </c:ext>
          </c:extLst>
        </c:ser>
        <c:ser>
          <c:idx val="5"/>
          <c:order val="5"/>
          <c:tx>
            <c:strRef>
              <c:f>'D_Ch4-2'!$A$40</c:f>
              <c:strCache>
                <c:ptCount val="1"/>
                <c:pt idx="0">
                  <c:v>Toulouse - Blagnac </c:v>
                </c:pt>
              </c:strCache>
            </c:strRef>
          </c:tx>
          <c:marker>
            <c:symbol val="none"/>
          </c:marker>
          <c:cat>
            <c:numRef>
              <c:f>'D_Ch4-2'!$B$34:$G$34</c:f>
              <c:numCache>
                <c:formatCode>#,##0</c:formatCode>
                <c:ptCount val="6"/>
                <c:pt idx="0">
                  <c:v>2012</c:v>
                </c:pt>
                <c:pt idx="1">
                  <c:v>2013</c:v>
                </c:pt>
                <c:pt idx="2">
                  <c:v>2014</c:v>
                </c:pt>
                <c:pt idx="3">
                  <c:v>2015</c:v>
                </c:pt>
                <c:pt idx="4">
                  <c:v>2016</c:v>
                </c:pt>
                <c:pt idx="5">
                  <c:v>2017</c:v>
                </c:pt>
              </c:numCache>
            </c:numRef>
          </c:cat>
          <c:val>
            <c:numRef>
              <c:f>'D_Ch4-2'!$B$40:$G$40</c:f>
              <c:numCache>
                <c:formatCode>General</c:formatCode>
                <c:ptCount val="6"/>
                <c:pt idx="0">
                  <c:v>100</c:v>
                </c:pt>
                <c:pt idx="1">
                  <c:v>100.10958614166563</c:v>
                </c:pt>
                <c:pt idx="2">
                  <c:v>99.449502933453275</c:v>
                </c:pt>
                <c:pt idx="3">
                  <c:v>101.45123588668339</c:v>
                </c:pt>
                <c:pt idx="4">
                  <c:v>106.90309351994549</c:v>
                </c:pt>
                <c:pt idx="5">
                  <c:v>122.55830197040751</c:v>
                </c:pt>
              </c:numCache>
            </c:numRef>
          </c:val>
          <c:smooth val="0"/>
          <c:extLst>
            <c:ext xmlns:c16="http://schemas.microsoft.com/office/drawing/2014/chart" uri="{C3380CC4-5D6E-409C-BE32-E72D297353CC}">
              <c16:uniqueId val="{00000005-26A9-454D-8E2A-5E7BB49FCEA4}"/>
            </c:ext>
          </c:extLst>
        </c:ser>
        <c:ser>
          <c:idx val="1"/>
          <c:order val="6"/>
          <c:tx>
            <c:strRef>
              <c:f>'D_Ch4-2'!$A$41</c:f>
              <c:strCache>
                <c:ptCount val="1"/>
                <c:pt idx="0">
                  <c:v>Bâle - Mulhouse </c:v>
                </c:pt>
              </c:strCache>
            </c:strRef>
          </c:tx>
          <c:marker>
            <c:symbol val="none"/>
          </c:marker>
          <c:cat>
            <c:numRef>
              <c:f>'D_Ch4-2'!$B$34:$G$34</c:f>
              <c:numCache>
                <c:formatCode>#,##0</c:formatCode>
                <c:ptCount val="6"/>
                <c:pt idx="0">
                  <c:v>2012</c:v>
                </c:pt>
                <c:pt idx="1">
                  <c:v>2013</c:v>
                </c:pt>
                <c:pt idx="2">
                  <c:v>2014</c:v>
                </c:pt>
                <c:pt idx="3">
                  <c:v>2015</c:v>
                </c:pt>
                <c:pt idx="4">
                  <c:v>2016</c:v>
                </c:pt>
                <c:pt idx="5">
                  <c:v>2017</c:v>
                </c:pt>
              </c:numCache>
            </c:numRef>
          </c:cat>
          <c:val>
            <c:numRef>
              <c:f>'D_Ch4-2'!$B$41:$G$41</c:f>
              <c:numCache>
                <c:formatCode>General</c:formatCode>
                <c:ptCount val="6"/>
                <c:pt idx="0">
                  <c:v>100</c:v>
                </c:pt>
                <c:pt idx="1">
                  <c:v>109.83681478734444</c:v>
                </c:pt>
                <c:pt idx="2">
                  <c:v>121.86072863051676</c:v>
                </c:pt>
                <c:pt idx="3">
                  <c:v>131.89313688252727</c:v>
                </c:pt>
                <c:pt idx="4">
                  <c:v>136.63399797228794</c:v>
                </c:pt>
                <c:pt idx="5">
                  <c:v>147.37485308059709</c:v>
                </c:pt>
              </c:numCache>
            </c:numRef>
          </c:val>
          <c:smooth val="0"/>
          <c:extLst>
            <c:ext xmlns:c16="http://schemas.microsoft.com/office/drawing/2014/chart" uri="{C3380CC4-5D6E-409C-BE32-E72D297353CC}">
              <c16:uniqueId val="{00000006-26A9-454D-8E2A-5E7BB49FCEA4}"/>
            </c:ext>
          </c:extLst>
        </c:ser>
        <c:ser>
          <c:idx val="4"/>
          <c:order val="7"/>
          <c:tx>
            <c:strRef>
              <c:f>'D_Ch4-2'!$A$42</c:f>
              <c:strCache>
                <c:ptCount val="1"/>
                <c:pt idx="0">
                  <c:v>Bordeaux - Mérignac</c:v>
                </c:pt>
              </c:strCache>
            </c:strRef>
          </c:tx>
          <c:marker>
            <c:symbol val="none"/>
          </c:marker>
          <c:cat>
            <c:numRef>
              <c:f>'D_Ch4-2'!$B$34:$G$34</c:f>
              <c:numCache>
                <c:formatCode>#,##0</c:formatCode>
                <c:ptCount val="6"/>
                <c:pt idx="0">
                  <c:v>2012</c:v>
                </c:pt>
                <c:pt idx="1">
                  <c:v>2013</c:v>
                </c:pt>
                <c:pt idx="2">
                  <c:v>2014</c:v>
                </c:pt>
                <c:pt idx="3">
                  <c:v>2015</c:v>
                </c:pt>
                <c:pt idx="4">
                  <c:v>2016</c:v>
                </c:pt>
                <c:pt idx="5">
                  <c:v>2017</c:v>
                </c:pt>
              </c:numCache>
            </c:numRef>
          </c:cat>
          <c:val>
            <c:numRef>
              <c:f>'D_Ch4-2'!$B$42:$G$42</c:f>
              <c:numCache>
                <c:formatCode>General</c:formatCode>
                <c:ptCount val="6"/>
                <c:pt idx="0">
                  <c:v>100</c:v>
                </c:pt>
                <c:pt idx="1">
                  <c:v>104.28032787181418</c:v>
                </c:pt>
                <c:pt idx="2">
                  <c:v>111.67453916738481</c:v>
                </c:pt>
                <c:pt idx="3">
                  <c:v>120.21697027509941</c:v>
                </c:pt>
                <c:pt idx="4">
                  <c:v>130.52111618781265</c:v>
                </c:pt>
                <c:pt idx="5">
                  <c:v>140.54455302443139</c:v>
                </c:pt>
              </c:numCache>
            </c:numRef>
          </c:val>
          <c:smooth val="0"/>
          <c:extLst>
            <c:ext xmlns:c16="http://schemas.microsoft.com/office/drawing/2014/chart" uri="{C3380CC4-5D6E-409C-BE32-E72D297353CC}">
              <c16:uniqueId val="{00000007-26A9-454D-8E2A-5E7BB49FCEA4}"/>
            </c:ext>
          </c:extLst>
        </c:ser>
        <c:ser>
          <c:idx val="0"/>
          <c:order val="8"/>
          <c:tx>
            <c:strRef>
              <c:f>'D_Ch4-2'!$A$43</c:f>
              <c:strCache>
                <c:ptCount val="1"/>
                <c:pt idx="0">
                  <c:v>Nantes Atlantique </c:v>
                </c:pt>
              </c:strCache>
            </c:strRef>
          </c:tx>
          <c:marker>
            <c:symbol val="none"/>
          </c:marker>
          <c:cat>
            <c:numRef>
              <c:f>'D_Ch4-2'!$B$34:$G$34</c:f>
              <c:numCache>
                <c:formatCode>#,##0</c:formatCode>
                <c:ptCount val="6"/>
                <c:pt idx="0">
                  <c:v>2012</c:v>
                </c:pt>
                <c:pt idx="1">
                  <c:v>2013</c:v>
                </c:pt>
                <c:pt idx="2">
                  <c:v>2014</c:v>
                </c:pt>
                <c:pt idx="3">
                  <c:v>2015</c:v>
                </c:pt>
                <c:pt idx="4">
                  <c:v>2016</c:v>
                </c:pt>
                <c:pt idx="5">
                  <c:v>2017</c:v>
                </c:pt>
              </c:numCache>
            </c:numRef>
          </c:cat>
          <c:val>
            <c:numRef>
              <c:f>'D_Ch4-2'!$B$43:$G$43</c:f>
              <c:numCache>
                <c:formatCode>General</c:formatCode>
                <c:ptCount val="6"/>
                <c:pt idx="0">
                  <c:v>100</c:v>
                </c:pt>
                <c:pt idx="1">
                  <c:v>108.23737028432745</c:v>
                </c:pt>
                <c:pt idx="2">
                  <c:v>114.47234113676458</c:v>
                </c:pt>
                <c:pt idx="3">
                  <c:v>121.01782832414526</c:v>
                </c:pt>
                <c:pt idx="4">
                  <c:v>131.59061077023858</c:v>
                </c:pt>
                <c:pt idx="5">
                  <c:v>151.14402566516497</c:v>
                </c:pt>
              </c:numCache>
            </c:numRef>
          </c:val>
          <c:smooth val="0"/>
          <c:extLst>
            <c:ext xmlns:c16="http://schemas.microsoft.com/office/drawing/2014/chart" uri="{C3380CC4-5D6E-409C-BE32-E72D297353CC}">
              <c16:uniqueId val="{00000008-26A9-454D-8E2A-5E7BB49FCEA4}"/>
            </c:ext>
          </c:extLst>
        </c:ser>
        <c:ser>
          <c:idx val="3"/>
          <c:order val="9"/>
          <c:tx>
            <c:strRef>
              <c:f>'D_Ch4-2'!$A$44</c:f>
              <c:strCache>
                <c:ptCount val="1"/>
                <c:pt idx="0">
                  <c:v>Paris - Beauvais</c:v>
                </c:pt>
              </c:strCache>
            </c:strRef>
          </c:tx>
          <c:marker>
            <c:symbol val="none"/>
          </c:marker>
          <c:cat>
            <c:numRef>
              <c:f>'D_Ch4-2'!$B$34:$G$34</c:f>
              <c:numCache>
                <c:formatCode>#,##0</c:formatCode>
                <c:ptCount val="6"/>
                <c:pt idx="0">
                  <c:v>2012</c:v>
                </c:pt>
                <c:pt idx="1">
                  <c:v>2013</c:v>
                </c:pt>
                <c:pt idx="2">
                  <c:v>2014</c:v>
                </c:pt>
                <c:pt idx="3">
                  <c:v>2015</c:v>
                </c:pt>
                <c:pt idx="4">
                  <c:v>2016</c:v>
                </c:pt>
                <c:pt idx="5">
                  <c:v>2017</c:v>
                </c:pt>
              </c:numCache>
            </c:numRef>
          </c:cat>
          <c:val>
            <c:numRef>
              <c:f>'D_Ch4-2'!$B$44:$G$44</c:f>
              <c:numCache>
                <c:formatCode>General</c:formatCode>
                <c:ptCount val="6"/>
                <c:pt idx="0">
                  <c:v>100</c:v>
                </c:pt>
                <c:pt idx="1">
                  <c:v>102.33901747078752</c:v>
                </c:pt>
                <c:pt idx="2">
                  <c:v>104.18476130609685</c:v>
                </c:pt>
                <c:pt idx="3">
                  <c:v>112.10225233925048</c:v>
                </c:pt>
                <c:pt idx="4">
                  <c:v>103.50270105696686</c:v>
                </c:pt>
                <c:pt idx="5">
                  <c:v>94.432710724125585</c:v>
                </c:pt>
              </c:numCache>
            </c:numRef>
          </c:val>
          <c:smooth val="0"/>
          <c:extLst>
            <c:ext xmlns:c16="http://schemas.microsoft.com/office/drawing/2014/chart" uri="{C3380CC4-5D6E-409C-BE32-E72D297353CC}">
              <c16:uniqueId val="{00000009-26A9-454D-8E2A-5E7BB49FCEA4}"/>
            </c:ext>
          </c:extLst>
        </c:ser>
        <c:dLbls>
          <c:showLegendKey val="0"/>
          <c:showVal val="0"/>
          <c:showCatName val="0"/>
          <c:showSerName val="0"/>
          <c:showPercent val="0"/>
          <c:showBubbleSize val="0"/>
        </c:dLbls>
        <c:smooth val="0"/>
        <c:axId val="345457408"/>
        <c:axId val="345458944"/>
      </c:lineChart>
      <c:catAx>
        <c:axId val="345457408"/>
        <c:scaling>
          <c:orientation val="minMax"/>
        </c:scaling>
        <c:delete val="0"/>
        <c:axPos val="b"/>
        <c:numFmt formatCode="General" sourceLinked="0"/>
        <c:majorTickMark val="out"/>
        <c:minorTickMark val="none"/>
        <c:tickLblPos val="nextTo"/>
        <c:txPr>
          <a:bodyPr/>
          <a:lstStyle/>
          <a:p>
            <a:pPr>
              <a:defRPr sz="900"/>
            </a:pPr>
            <a:endParaRPr lang="fr-FR"/>
          </a:p>
        </c:txPr>
        <c:crossAx val="345458944"/>
        <c:crosses val="autoZero"/>
        <c:auto val="1"/>
        <c:lblAlgn val="ctr"/>
        <c:lblOffset val="100"/>
        <c:noMultiLvlLbl val="0"/>
      </c:catAx>
      <c:valAx>
        <c:axId val="345458944"/>
        <c:scaling>
          <c:orientation val="minMax"/>
          <c:min val="80"/>
        </c:scaling>
        <c:delete val="0"/>
        <c:axPos val="l"/>
        <c:majorGridlines/>
        <c:numFmt formatCode="General" sourceLinked="1"/>
        <c:majorTickMark val="out"/>
        <c:minorTickMark val="none"/>
        <c:tickLblPos val="nextTo"/>
        <c:txPr>
          <a:bodyPr/>
          <a:lstStyle/>
          <a:p>
            <a:pPr>
              <a:defRPr sz="900"/>
            </a:pPr>
            <a:endParaRPr lang="fr-FR"/>
          </a:p>
        </c:txPr>
        <c:crossAx val="345457408"/>
        <c:crossesAt val="1"/>
        <c:crossBetween val="midCat"/>
      </c:valAx>
    </c:plotArea>
    <c:legend>
      <c:legendPos val="r"/>
      <c:layout>
        <c:manualLayout>
          <c:xMode val="edge"/>
          <c:yMode val="edge"/>
          <c:x val="0.76146090270137146"/>
          <c:y val="5.3816365491530141E-2"/>
          <c:w val="0.23237430693686018"/>
          <c:h val="0.89699653579634575"/>
        </c:manualLayout>
      </c:layout>
      <c:overlay val="0"/>
      <c:txPr>
        <a:bodyPr/>
        <a:lstStyle/>
        <a:p>
          <a:pPr>
            <a:defRPr sz="9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08758420119152"/>
          <c:y val="3.5010476922836264E-2"/>
          <c:w val="0.81761156696200699"/>
          <c:h val="0.88599210959464647"/>
        </c:manualLayout>
      </c:layout>
      <c:lineChart>
        <c:grouping val="standard"/>
        <c:varyColors val="0"/>
        <c:ser>
          <c:idx val="0"/>
          <c:order val="0"/>
          <c:tx>
            <c:strRef>
              <c:f>'D_Ch4-1'!$A$161</c:f>
              <c:strCache>
                <c:ptCount val="1"/>
                <c:pt idx="0">
                  <c:v>Loire-Atl.</c:v>
                </c:pt>
              </c:strCache>
            </c:strRef>
          </c:tx>
          <c:spPr>
            <a:ln>
              <a:solidFill>
                <a:schemeClr val="bg2">
                  <a:lumMod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B03D-49F9-9E6E-036047CD5716}"/>
                </c:ext>
              </c:extLst>
            </c:dLbl>
            <c:dLbl>
              <c:idx val="1"/>
              <c:delete val="1"/>
              <c:extLst>
                <c:ext xmlns:c15="http://schemas.microsoft.com/office/drawing/2012/chart" uri="{CE6537A1-D6FC-4f65-9D91-7224C49458BB}"/>
                <c:ext xmlns:c16="http://schemas.microsoft.com/office/drawing/2014/chart" uri="{C3380CC4-5D6E-409C-BE32-E72D297353CC}">
                  <c16:uniqueId val="{00000001-B03D-49F9-9E6E-036047CD5716}"/>
                </c:ext>
              </c:extLst>
            </c:dLbl>
            <c:dLbl>
              <c:idx val="2"/>
              <c:delete val="1"/>
              <c:extLst>
                <c:ext xmlns:c15="http://schemas.microsoft.com/office/drawing/2012/chart" uri="{CE6537A1-D6FC-4f65-9D91-7224C49458BB}"/>
                <c:ext xmlns:c16="http://schemas.microsoft.com/office/drawing/2014/chart" uri="{C3380CC4-5D6E-409C-BE32-E72D297353CC}">
                  <c16:uniqueId val="{00000002-B03D-49F9-9E6E-036047CD5716}"/>
                </c:ext>
              </c:extLst>
            </c:dLbl>
            <c:dLbl>
              <c:idx val="3"/>
              <c:delete val="1"/>
              <c:extLst>
                <c:ext xmlns:c15="http://schemas.microsoft.com/office/drawing/2012/chart" uri="{CE6537A1-D6FC-4f65-9D91-7224C49458BB}"/>
                <c:ext xmlns:c16="http://schemas.microsoft.com/office/drawing/2014/chart" uri="{C3380CC4-5D6E-409C-BE32-E72D297353CC}">
                  <c16:uniqueId val="{00000003-B03D-49F9-9E6E-036047CD5716}"/>
                </c:ext>
              </c:extLst>
            </c:dLbl>
            <c:dLbl>
              <c:idx val="4"/>
              <c:delete val="1"/>
              <c:extLst>
                <c:ext xmlns:c15="http://schemas.microsoft.com/office/drawing/2012/chart" uri="{CE6537A1-D6FC-4f65-9D91-7224C49458BB}"/>
                <c:ext xmlns:c16="http://schemas.microsoft.com/office/drawing/2014/chart" uri="{C3380CC4-5D6E-409C-BE32-E72D297353CC}">
                  <c16:uniqueId val="{00000004-B03D-49F9-9E6E-036047CD5716}"/>
                </c:ext>
              </c:extLst>
            </c:dLbl>
            <c:dLbl>
              <c:idx val="5"/>
              <c:layout>
                <c:manualLayout>
                  <c:x val="-0.23217368063521054"/>
                  <c:y val="0.14820891671920228"/>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B03D-49F9-9E6E-036047CD5716}"/>
                </c:ext>
              </c:extLst>
            </c:dLbl>
            <c:spPr>
              <a:noFill/>
              <a:ln>
                <a:noFill/>
              </a:ln>
              <a:effectLst/>
            </c:spPr>
            <c:txPr>
              <a:bodyPr/>
              <a:lstStyle/>
              <a:p>
                <a:pPr>
                  <a:defRPr sz="800" b="1" i="1">
                    <a:solidFill>
                      <a:schemeClr val="bg2">
                        <a:lumMod val="25000"/>
                      </a:schemeClr>
                    </a:solidFil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'D_Ch4-1'!$H$160:$M$160</c:f>
              <c:strCache>
                <c:ptCount val="6"/>
                <c:pt idx="0">
                  <c:v>2010</c:v>
                </c:pt>
                <c:pt idx="1">
                  <c:v>2011</c:v>
                </c:pt>
                <c:pt idx="2">
                  <c:v>2012</c:v>
                </c:pt>
                <c:pt idx="3">
                  <c:v>2013</c:v>
                </c:pt>
                <c:pt idx="4">
                  <c:v>2014</c:v>
                </c:pt>
                <c:pt idx="5">
                  <c:v>2015</c:v>
                </c:pt>
              </c:strCache>
            </c:strRef>
          </c:cat>
          <c:val>
            <c:numRef>
              <c:f>'D_Ch4-1'!$H$161:$M$161</c:f>
              <c:numCache>
                <c:formatCode>0</c:formatCode>
                <c:ptCount val="6"/>
                <c:pt idx="0">
                  <c:v>100</c:v>
                </c:pt>
                <c:pt idx="1">
                  <c:v>103.94748036185237</c:v>
                </c:pt>
                <c:pt idx="2">
                  <c:v>103.80568868218813</c:v>
                </c:pt>
                <c:pt idx="3">
                  <c:v>103.6043444970649</c:v>
                </c:pt>
                <c:pt idx="4">
                  <c:v>103.81703201656127</c:v>
                </c:pt>
                <c:pt idx="5">
                  <c:v>106.21331140288687</c:v>
                </c:pt>
              </c:numCache>
            </c:numRef>
          </c:val>
          <c:smooth val="0"/>
          <c:extLst>
            <c:ext xmlns:c16="http://schemas.microsoft.com/office/drawing/2014/chart" uri="{C3380CC4-5D6E-409C-BE32-E72D297353CC}">
              <c16:uniqueId val="{00000006-B03D-49F9-9E6E-036047CD5716}"/>
            </c:ext>
          </c:extLst>
        </c:ser>
        <c:ser>
          <c:idx val="1"/>
          <c:order val="1"/>
          <c:tx>
            <c:strRef>
              <c:f>'D_Ch4-1'!$A$162</c:f>
              <c:strCache>
                <c:ptCount val="1"/>
                <c:pt idx="0">
                  <c:v>Gironde</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B03D-49F9-9E6E-036047CD5716}"/>
                </c:ext>
              </c:extLst>
            </c:dLbl>
            <c:dLbl>
              <c:idx val="1"/>
              <c:delete val="1"/>
              <c:extLst>
                <c:ext xmlns:c15="http://schemas.microsoft.com/office/drawing/2012/chart" uri="{CE6537A1-D6FC-4f65-9D91-7224C49458BB}"/>
                <c:ext xmlns:c16="http://schemas.microsoft.com/office/drawing/2014/chart" uri="{C3380CC4-5D6E-409C-BE32-E72D297353CC}">
                  <c16:uniqueId val="{00000008-B03D-49F9-9E6E-036047CD5716}"/>
                </c:ext>
              </c:extLst>
            </c:dLbl>
            <c:dLbl>
              <c:idx val="2"/>
              <c:delete val="1"/>
              <c:extLst>
                <c:ext xmlns:c15="http://schemas.microsoft.com/office/drawing/2012/chart" uri="{CE6537A1-D6FC-4f65-9D91-7224C49458BB}"/>
                <c:ext xmlns:c16="http://schemas.microsoft.com/office/drawing/2014/chart" uri="{C3380CC4-5D6E-409C-BE32-E72D297353CC}">
                  <c16:uniqueId val="{00000009-B03D-49F9-9E6E-036047CD5716}"/>
                </c:ext>
              </c:extLst>
            </c:dLbl>
            <c:dLbl>
              <c:idx val="3"/>
              <c:delete val="1"/>
              <c:extLst>
                <c:ext xmlns:c15="http://schemas.microsoft.com/office/drawing/2012/chart" uri="{CE6537A1-D6FC-4f65-9D91-7224C49458BB}"/>
                <c:ext xmlns:c16="http://schemas.microsoft.com/office/drawing/2014/chart" uri="{C3380CC4-5D6E-409C-BE32-E72D297353CC}">
                  <c16:uniqueId val="{0000000A-B03D-49F9-9E6E-036047CD5716}"/>
                </c:ext>
              </c:extLst>
            </c:dLbl>
            <c:dLbl>
              <c:idx val="4"/>
              <c:delete val="1"/>
              <c:extLst>
                <c:ext xmlns:c15="http://schemas.microsoft.com/office/drawing/2012/chart" uri="{CE6537A1-D6FC-4f65-9D91-7224C49458BB}"/>
                <c:ext xmlns:c16="http://schemas.microsoft.com/office/drawing/2014/chart" uri="{C3380CC4-5D6E-409C-BE32-E72D297353CC}">
                  <c16:uniqueId val="{0000000B-B03D-49F9-9E6E-036047CD5716}"/>
                </c:ext>
              </c:extLst>
            </c:dLbl>
            <c:dLbl>
              <c:idx val="5"/>
              <c:layout>
                <c:manualLayout>
                  <c:x val="-0.32848559343110945"/>
                  <c:y val="0.11667485635355412"/>
                </c:manualLayout>
              </c:layout>
              <c:spPr/>
              <c:txPr>
                <a:bodyPr rot="0"/>
                <a:lstStyle/>
                <a:p>
                  <a:pPr>
                    <a:defRPr sz="800" b="1" i="1">
                      <a:solidFill>
                        <a:srgbClr val="C00000"/>
                      </a:solidFill>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B03D-49F9-9E6E-036047CD5716}"/>
                </c:ext>
              </c:extLst>
            </c:dLbl>
            <c:spPr>
              <a:noFill/>
              <a:ln>
                <a:noFill/>
              </a:ln>
              <a:effectLst/>
            </c:spPr>
            <c:txPr>
              <a:bodyPr/>
              <a:lstStyle/>
              <a:p>
                <a:pPr>
                  <a:defRPr sz="800" b="1" i="1">
                    <a:solidFill>
                      <a:srgbClr val="C00000"/>
                    </a:solidFil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'D_Ch4-1'!$H$160:$M$160</c:f>
              <c:strCache>
                <c:ptCount val="6"/>
                <c:pt idx="0">
                  <c:v>2010</c:v>
                </c:pt>
                <c:pt idx="1">
                  <c:v>2011</c:v>
                </c:pt>
                <c:pt idx="2">
                  <c:v>2012</c:v>
                </c:pt>
                <c:pt idx="3">
                  <c:v>2013</c:v>
                </c:pt>
                <c:pt idx="4">
                  <c:v>2014</c:v>
                </c:pt>
                <c:pt idx="5">
                  <c:v>2015</c:v>
                </c:pt>
              </c:strCache>
            </c:strRef>
          </c:cat>
          <c:val>
            <c:numRef>
              <c:f>'D_Ch4-1'!$H$162:$M$162</c:f>
              <c:numCache>
                <c:formatCode>0</c:formatCode>
                <c:ptCount val="6"/>
                <c:pt idx="0">
                  <c:v>100</c:v>
                </c:pt>
                <c:pt idx="1">
                  <c:v>102.28707065065623</c:v>
                </c:pt>
                <c:pt idx="2">
                  <c:v>101.68947221446523</c:v>
                </c:pt>
                <c:pt idx="3">
                  <c:v>98.494833845294622</c:v>
                </c:pt>
                <c:pt idx="4">
                  <c:v>100.29600670203853</c:v>
                </c:pt>
                <c:pt idx="5">
                  <c:v>100.96341803965372</c:v>
                </c:pt>
              </c:numCache>
            </c:numRef>
          </c:val>
          <c:smooth val="0"/>
          <c:extLst>
            <c:ext xmlns:c16="http://schemas.microsoft.com/office/drawing/2014/chart" uri="{C3380CC4-5D6E-409C-BE32-E72D297353CC}">
              <c16:uniqueId val="{0000000D-B03D-49F9-9E6E-036047CD5716}"/>
            </c:ext>
          </c:extLst>
        </c:ser>
        <c:ser>
          <c:idx val="2"/>
          <c:order val="2"/>
          <c:tx>
            <c:strRef>
              <c:f>'D_Ch4-1'!$A$163</c:f>
              <c:strCache>
                <c:ptCount val="1"/>
                <c:pt idx="0">
                  <c:v>Haute-Garonne</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B03D-49F9-9E6E-036047CD5716}"/>
                </c:ext>
              </c:extLst>
            </c:dLbl>
            <c:dLbl>
              <c:idx val="1"/>
              <c:delete val="1"/>
              <c:extLst>
                <c:ext xmlns:c15="http://schemas.microsoft.com/office/drawing/2012/chart" uri="{CE6537A1-D6FC-4f65-9D91-7224C49458BB}"/>
                <c:ext xmlns:c16="http://schemas.microsoft.com/office/drawing/2014/chart" uri="{C3380CC4-5D6E-409C-BE32-E72D297353CC}">
                  <c16:uniqueId val="{0000000F-B03D-49F9-9E6E-036047CD5716}"/>
                </c:ext>
              </c:extLst>
            </c:dLbl>
            <c:dLbl>
              <c:idx val="2"/>
              <c:delete val="1"/>
              <c:extLst>
                <c:ext xmlns:c15="http://schemas.microsoft.com/office/drawing/2012/chart" uri="{CE6537A1-D6FC-4f65-9D91-7224C49458BB}"/>
                <c:ext xmlns:c16="http://schemas.microsoft.com/office/drawing/2014/chart" uri="{C3380CC4-5D6E-409C-BE32-E72D297353CC}">
                  <c16:uniqueId val="{00000010-B03D-49F9-9E6E-036047CD5716}"/>
                </c:ext>
              </c:extLst>
            </c:dLbl>
            <c:dLbl>
              <c:idx val="3"/>
              <c:delete val="1"/>
              <c:extLst>
                <c:ext xmlns:c15="http://schemas.microsoft.com/office/drawing/2012/chart" uri="{CE6537A1-D6FC-4f65-9D91-7224C49458BB}"/>
                <c:ext xmlns:c16="http://schemas.microsoft.com/office/drawing/2014/chart" uri="{C3380CC4-5D6E-409C-BE32-E72D297353CC}">
                  <c16:uniqueId val="{00000011-B03D-49F9-9E6E-036047CD5716}"/>
                </c:ext>
              </c:extLst>
            </c:dLbl>
            <c:dLbl>
              <c:idx val="4"/>
              <c:delete val="1"/>
              <c:extLst>
                <c:ext xmlns:c15="http://schemas.microsoft.com/office/drawing/2012/chart" uri="{CE6537A1-D6FC-4f65-9D91-7224C49458BB}"/>
                <c:ext xmlns:c16="http://schemas.microsoft.com/office/drawing/2014/chart" uri="{C3380CC4-5D6E-409C-BE32-E72D297353CC}">
                  <c16:uniqueId val="{00000012-B03D-49F9-9E6E-036047CD5716}"/>
                </c:ext>
              </c:extLst>
            </c:dLbl>
            <c:dLbl>
              <c:idx val="5"/>
              <c:layout>
                <c:manualLayout>
                  <c:x val="-0.18158039800884215"/>
                  <c:y val="3.7840574481498468E-2"/>
                </c:manualLayout>
              </c:layout>
              <c:spPr/>
              <c:txPr>
                <a:bodyPr rot="-1200000" anchor="ctr" anchorCtr="0"/>
                <a:lstStyle/>
                <a:p>
                  <a:pPr>
                    <a:defRPr sz="800" b="1">
                      <a:solidFill>
                        <a:schemeClr val="accent3"/>
                      </a:solidFil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B03D-49F9-9E6E-036047CD5716}"/>
                </c:ext>
              </c:extLst>
            </c:dLbl>
            <c:spPr>
              <a:noFill/>
              <a:ln>
                <a:noFill/>
              </a:ln>
              <a:effectLst/>
            </c:spPr>
            <c:txPr>
              <a:bodyPr rot="1200000" anchor="ctr" anchorCtr="0"/>
              <a:lstStyle/>
              <a:p>
                <a:pPr>
                  <a:defRPr sz="800"/>
                </a:pPr>
                <a:endParaRPr lang="fr-F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'D_Ch4-1'!$H$160:$M$160</c:f>
              <c:strCache>
                <c:ptCount val="6"/>
                <c:pt idx="0">
                  <c:v>2010</c:v>
                </c:pt>
                <c:pt idx="1">
                  <c:v>2011</c:v>
                </c:pt>
                <c:pt idx="2">
                  <c:v>2012</c:v>
                </c:pt>
                <c:pt idx="3">
                  <c:v>2013</c:v>
                </c:pt>
                <c:pt idx="4">
                  <c:v>2014</c:v>
                </c:pt>
                <c:pt idx="5">
                  <c:v>2015</c:v>
                </c:pt>
              </c:strCache>
            </c:strRef>
          </c:cat>
          <c:val>
            <c:numRef>
              <c:f>'D_Ch4-1'!$H$163:$M$163</c:f>
              <c:numCache>
                <c:formatCode>0</c:formatCode>
                <c:ptCount val="6"/>
                <c:pt idx="0">
                  <c:v>100</c:v>
                </c:pt>
                <c:pt idx="1">
                  <c:v>103.25667156703959</c:v>
                </c:pt>
                <c:pt idx="2">
                  <c:v>105.99506640420601</c:v>
                </c:pt>
                <c:pt idx="3">
                  <c:v>107.23095706774973</c:v>
                </c:pt>
                <c:pt idx="4">
                  <c:v>108.68861037051802</c:v>
                </c:pt>
                <c:pt idx="5">
                  <c:v>109.78247327635611</c:v>
                </c:pt>
              </c:numCache>
            </c:numRef>
          </c:val>
          <c:smooth val="0"/>
          <c:extLst>
            <c:ext xmlns:c16="http://schemas.microsoft.com/office/drawing/2014/chart" uri="{C3380CC4-5D6E-409C-BE32-E72D297353CC}">
              <c16:uniqueId val="{00000014-B03D-49F9-9E6E-036047CD5716}"/>
            </c:ext>
          </c:extLst>
        </c:ser>
        <c:ser>
          <c:idx val="3"/>
          <c:order val="3"/>
          <c:tx>
            <c:strRef>
              <c:f>'D_Ch4-1'!$A$164</c:f>
              <c:strCache>
                <c:ptCount val="1"/>
                <c:pt idx="0">
                  <c:v>Rhône</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5-B03D-49F9-9E6E-036047CD5716}"/>
                </c:ext>
              </c:extLst>
            </c:dLbl>
            <c:dLbl>
              <c:idx val="1"/>
              <c:delete val="1"/>
              <c:extLst>
                <c:ext xmlns:c15="http://schemas.microsoft.com/office/drawing/2012/chart" uri="{CE6537A1-D6FC-4f65-9D91-7224C49458BB}"/>
                <c:ext xmlns:c16="http://schemas.microsoft.com/office/drawing/2014/chart" uri="{C3380CC4-5D6E-409C-BE32-E72D297353CC}">
                  <c16:uniqueId val="{00000016-B03D-49F9-9E6E-036047CD5716}"/>
                </c:ext>
              </c:extLst>
            </c:dLbl>
            <c:dLbl>
              <c:idx val="2"/>
              <c:delete val="1"/>
              <c:extLst>
                <c:ext xmlns:c15="http://schemas.microsoft.com/office/drawing/2012/chart" uri="{CE6537A1-D6FC-4f65-9D91-7224C49458BB}"/>
                <c:ext xmlns:c16="http://schemas.microsoft.com/office/drawing/2014/chart" uri="{C3380CC4-5D6E-409C-BE32-E72D297353CC}">
                  <c16:uniqueId val="{00000017-B03D-49F9-9E6E-036047CD5716}"/>
                </c:ext>
              </c:extLst>
            </c:dLbl>
            <c:dLbl>
              <c:idx val="3"/>
              <c:delete val="1"/>
              <c:extLst>
                <c:ext xmlns:c15="http://schemas.microsoft.com/office/drawing/2012/chart" uri="{CE6537A1-D6FC-4f65-9D91-7224C49458BB}"/>
                <c:ext xmlns:c16="http://schemas.microsoft.com/office/drawing/2014/chart" uri="{C3380CC4-5D6E-409C-BE32-E72D297353CC}">
                  <c16:uniqueId val="{00000018-B03D-49F9-9E6E-036047CD5716}"/>
                </c:ext>
              </c:extLst>
            </c:dLbl>
            <c:dLbl>
              <c:idx val="4"/>
              <c:delete val="1"/>
              <c:extLst>
                <c:ext xmlns:c15="http://schemas.microsoft.com/office/drawing/2012/chart" uri="{CE6537A1-D6FC-4f65-9D91-7224C49458BB}"/>
                <c:ext xmlns:c16="http://schemas.microsoft.com/office/drawing/2014/chart" uri="{C3380CC4-5D6E-409C-BE32-E72D297353CC}">
                  <c16:uniqueId val="{00000019-B03D-49F9-9E6E-036047CD5716}"/>
                </c:ext>
              </c:extLst>
            </c:dLbl>
            <c:dLbl>
              <c:idx val="5"/>
              <c:layout>
                <c:manualLayout>
                  <c:x val="-0.31671297482098509"/>
                  <c:y val="9.775481741053770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A-B03D-49F9-9E6E-036047CD5716}"/>
                </c:ext>
              </c:extLst>
            </c:dLbl>
            <c:spPr>
              <a:noFill/>
              <a:ln>
                <a:noFill/>
              </a:ln>
              <a:effectLst/>
            </c:spPr>
            <c:txPr>
              <a:bodyPr/>
              <a:lstStyle/>
              <a:p>
                <a:pPr>
                  <a:defRPr sz="800" b="1" i="1">
                    <a:solidFill>
                      <a:schemeClr val="accent4"/>
                    </a:solidFil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'D_Ch4-1'!$H$160:$M$160</c:f>
              <c:strCache>
                <c:ptCount val="6"/>
                <c:pt idx="0">
                  <c:v>2010</c:v>
                </c:pt>
                <c:pt idx="1">
                  <c:v>2011</c:v>
                </c:pt>
                <c:pt idx="2">
                  <c:v>2012</c:v>
                </c:pt>
                <c:pt idx="3">
                  <c:v>2013</c:v>
                </c:pt>
                <c:pt idx="4">
                  <c:v>2014</c:v>
                </c:pt>
                <c:pt idx="5">
                  <c:v>2015</c:v>
                </c:pt>
              </c:strCache>
            </c:strRef>
          </c:cat>
          <c:val>
            <c:numRef>
              <c:f>'D_Ch4-1'!$H$164:$M$164</c:f>
              <c:numCache>
                <c:formatCode>0</c:formatCode>
                <c:ptCount val="6"/>
                <c:pt idx="0">
                  <c:v>100</c:v>
                </c:pt>
                <c:pt idx="1">
                  <c:v>101.61062208430963</c:v>
                </c:pt>
                <c:pt idx="2">
                  <c:v>101.8977054440293</c:v>
                </c:pt>
                <c:pt idx="3">
                  <c:v>100.8570282650455</c:v>
                </c:pt>
                <c:pt idx="4">
                  <c:v>101.26443332700062</c:v>
                </c:pt>
                <c:pt idx="5">
                  <c:v>102.53731028222828</c:v>
                </c:pt>
              </c:numCache>
            </c:numRef>
          </c:val>
          <c:smooth val="0"/>
          <c:extLst>
            <c:ext xmlns:c16="http://schemas.microsoft.com/office/drawing/2014/chart" uri="{C3380CC4-5D6E-409C-BE32-E72D297353CC}">
              <c16:uniqueId val="{0000001B-B03D-49F9-9E6E-036047CD5716}"/>
            </c:ext>
          </c:extLst>
        </c:ser>
        <c:ser>
          <c:idx val="4"/>
          <c:order val="4"/>
          <c:tx>
            <c:strRef>
              <c:f>'D_Ch4-1'!$A$165</c:f>
              <c:strCache>
                <c:ptCount val="1"/>
                <c:pt idx="0">
                  <c:v>Alpes-Marit.</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C-B03D-49F9-9E6E-036047CD5716}"/>
                </c:ext>
              </c:extLst>
            </c:dLbl>
            <c:dLbl>
              <c:idx val="1"/>
              <c:delete val="1"/>
              <c:extLst>
                <c:ext xmlns:c15="http://schemas.microsoft.com/office/drawing/2012/chart" uri="{CE6537A1-D6FC-4f65-9D91-7224C49458BB}"/>
                <c:ext xmlns:c16="http://schemas.microsoft.com/office/drawing/2014/chart" uri="{C3380CC4-5D6E-409C-BE32-E72D297353CC}">
                  <c16:uniqueId val="{0000001D-B03D-49F9-9E6E-036047CD5716}"/>
                </c:ext>
              </c:extLst>
            </c:dLbl>
            <c:dLbl>
              <c:idx val="2"/>
              <c:delete val="1"/>
              <c:extLst>
                <c:ext xmlns:c15="http://schemas.microsoft.com/office/drawing/2012/chart" uri="{CE6537A1-D6FC-4f65-9D91-7224C49458BB}"/>
                <c:ext xmlns:c16="http://schemas.microsoft.com/office/drawing/2014/chart" uri="{C3380CC4-5D6E-409C-BE32-E72D297353CC}">
                  <c16:uniqueId val="{0000001E-B03D-49F9-9E6E-036047CD5716}"/>
                </c:ext>
              </c:extLst>
            </c:dLbl>
            <c:dLbl>
              <c:idx val="3"/>
              <c:delete val="1"/>
              <c:extLst>
                <c:ext xmlns:c15="http://schemas.microsoft.com/office/drawing/2012/chart" uri="{CE6537A1-D6FC-4f65-9D91-7224C49458BB}"/>
                <c:ext xmlns:c16="http://schemas.microsoft.com/office/drawing/2014/chart" uri="{C3380CC4-5D6E-409C-BE32-E72D297353CC}">
                  <c16:uniqueId val="{0000001F-B03D-49F9-9E6E-036047CD5716}"/>
                </c:ext>
              </c:extLst>
            </c:dLbl>
            <c:dLbl>
              <c:idx val="4"/>
              <c:delete val="1"/>
              <c:extLst>
                <c:ext xmlns:c15="http://schemas.microsoft.com/office/drawing/2012/chart" uri="{CE6537A1-D6FC-4f65-9D91-7224C49458BB}"/>
                <c:ext xmlns:c16="http://schemas.microsoft.com/office/drawing/2014/chart" uri="{C3380CC4-5D6E-409C-BE32-E72D297353CC}">
                  <c16:uniqueId val="{00000020-B03D-49F9-9E6E-036047CD5716}"/>
                </c:ext>
              </c:extLst>
            </c:dLbl>
            <c:dLbl>
              <c:idx val="5"/>
              <c:layout>
                <c:manualLayout>
                  <c:x val="-0.54066417400729794"/>
                  <c:y val="9.460143620374617E-3"/>
                </c:manualLayout>
              </c:layout>
              <c:spPr/>
              <c:txPr>
                <a:bodyPr rot="0"/>
                <a:lstStyle/>
                <a:p>
                  <a:pPr>
                    <a:defRPr sz="800" b="1" i="1">
                      <a:solidFill>
                        <a:schemeClr val="accent5"/>
                      </a:solidFill>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1-B03D-49F9-9E6E-036047CD5716}"/>
                </c:ext>
              </c:extLst>
            </c:dLbl>
            <c:spPr>
              <a:noFill/>
              <a:ln>
                <a:noFill/>
              </a:ln>
              <a:effectLst/>
            </c:spPr>
            <c:txPr>
              <a:bodyPr/>
              <a:lstStyle/>
              <a:p>
                <a:pPr>
                  <a:defRPr sz="800" b="1" i="1">
                    <a:solidFill>
                      <a:schemeClr val="accent5"/>
                    </a:solidFil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'D_Ch4-1'!$H$160:$M$160</c:f>
              <c:strCache>
                <c:ptCount val="6"/>
                <c:pt idx="0">
                  <c:v>2010</c:v>
                </c:pt>
                <c:pt idx="1">
                  <c:v>2011</c:v>
                </c:pt>
                <c:pt idx="2">
                  <c:v>2012</c:v>
                </c:pt>
                <c:pt idx="3">
                  <c:v>2013</c:v>
                </c:pt>
                <c:pt idx="4">
                  <c:v>2014</c:v>
                </c:pt>
                <c:pt idx="5">
                  <c:v>2015</c:v>
                </c:pt>
              </c:strCache>
            </c:strRef>
          </c:cat>
          <c:val>
            <c:numRef>
              <c:f>'D_Ch4-1'!$H$165:$M$165</c:f>
              <c:numCache>
                <c:formatCode>0</c:formatCode>
                <c:ptCount val="6"/>
                <c:pt idx="0">
                  <c:v>100</c:v>
                </c:pt>
                <c:pt idx="1">
                  <c:v>100.96678368890089</c:v>
                </c:pt>
                <c:pt idx="2">
                  <c:v>100.99918984607075</c:v>
                </c:pt>
                <c:pt idx="3">
                  <c:v>100.40507696462329</c:v>
                </c:pt>
                <c:pt idx="4">
                  <c:v>99.743451255738591</c:v>
                </c:pt>
                <c:pt idx="5">
                  <c:v>100.7561436672968</c:v>
                </c:pt>
              </c:numCache>
            </c:numRef>
          </c:val>
          <c:smooth val="0"/>
          <c:extLst>
            <c:ext xmlns:c16="http://schemas.microsoft.com/office/drawing/2014/chart" uri="{C3380CC4-5D6E-409C-BE32-E72D297353CC}">
              <c16:uniqueId val="{00000022-B03D-49F9-9E6E-036047CD5716}"/>
            </c:ext>
          </c:extLst>
        </c:ser>
        <c:ser>
          <c:idx val="5"/>
          <c:order val="5"/>
          <c:tx>
            <c:strRef>
              <c:f>'D_Ch4-1'!$A$166</c:f>
              <c:strCache>
                <c:ptCount val="1"/>
                <c:pt idx="0">
                  <c:v>Bouches-du-R.</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3-B03D-49F9-9E6E-036047CD5716}"/>
                </c:ext>
              </c:extLst>
            </c:dLbl>
            <c:dLbl>
              <c:idx val="1"/>
              <c:delete val="1"/>
              <c:extLst>
                <c:ext xmlns:c15="http://schemas.microsoft.com/office/drawing/2012/chart" uri="{CE6537A1-D6FC-4f65-9D91-7224C49458BB}"/>
                <c:ext xmlns:c16="http://schemas.microsoft.com/office/drawing/2014/chart" uri="{C3380CC4-5D6E-409C-BE32-E72D297353CC}">
                  <c16:uniqueId val="{00000024-B03D-49F9-9E6E-036047CD5716}"/>
                </c:ext>
              </c:extLst>
            </c:dLbl>
            <c:dLbl>
              <c:idx val="2"/>
              <c:delete val="1"/>
              <c:extLst>
                <c:ext xmlns:c15="http://schemas.microsoft.com/office/drawing/2012/chart" uri="{CE6537A1-D6FC-4f65-9D91-7224C49458BB}"/>
                <c:ext xmlns:c16="http://schemas.microsoft.com/office/drawing/2014/chart" uri="{C3380CC4-5D6E-409C-BE32-E72D297353CC}">
                  <c16:uniqueId val="{00000025-B03D-49F9-9E6E-036047CD5716}"/>
                </c:ext>
              </c:extLst>
            </c:dLbl>
            <c:dLbl>
              <c:idx val="3"/>
              <c:delete val="1"/>
              <c:extLst>
                <c:ext xmlns:c15="http://schemas.microsoft.com/office/drawing/2012/chart" uri="{CE6537A1-D6FC-4f65-9D91-7224C49458BB}"/>
                <c:ext xmlns:c16="http://schemas.microsoft.com/office/drawing/2014/chart" uri="{C3380CC4-5D6E-409C-BE32-E72D297353CC}">
                  <c16:uniqueId val="{00000026-B03D-49F9-9E6E-036047CD5716}"/>
                </c:ext>
              </c:extLst>
            </c:dLbl>
            <c:dLbl>
              <c:idx val="4"/>
              <c:delete val="1"/>
              <c:extLst>
                <c:ext xmlns:c15="http://schemas.microsoft.com/office/drawing/2012/chart" uri="{CE6537A1-D6FC-4f65-9D91-7224C49458BB}"/>
                <c:ext xmlns:c16="http://schemas.microsoft.com/office/drawing/2014/chart" uri="{C3380CC4-5D6E-409C-BE32-E72D297353CC}">
                  <c16:uniqueId val="{00000027-B03D-49F9-9E6E-036047CD5716}"/>
                </c:ext>
              </c:extLst>
            </c:dLbl>
            <c:dLbl>
              <c:idx val="5"/>
              <c:layout>
                <c:manualLayout>
                  <c:x val="-0.35585218140175434"/>
                  <c:y val="-0.11036834223770386"/>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8-B03D-49F9-9E6E-036047CD5716}"/>
                </c:ext>
              </c:extLst>
            </c:dLbl>
            <c:spPr>
              <a:noFill/>
              <a:ln>
                <a:noFill/>
              </a:ln>
              <a:effectLst/>
            </c:spPr>
            <c:txPr>
              <a:bodyPr/>
              <a:lstStyle/>
              <a:p>
                <a:pPr>
                  <a:defRPr sz="800" b="1" i="1">
                    <a:solidFill>
                      <a:schemeClr val="accent6"/>
                    </a:solidFil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'D_Ch4-1'!$H$160:$M$160</c:f>
              <c:strCache>
                <c:ptCount val="6"/>
                <c:pt idx="0">
                  <c:v>2010</c:v>
                </c:pt>
                <c:pt idx="1">
                  <c:v>2011</c:v>
                </c:pt>
                <c:pt idx="2">
                  <c:v>2012</c:v>
                </c:pt>
                <c:pt idx="3">
                  <c:v>2013</c:v>
                </c:pt>
                <c:pt idx="4">
                  <c:v>2014</c:v>
                </c:pt>
                <c:pt idx="5">
                  <c:v>2015</c:v>
                </c:pt>
              </c:strCache>
            </c:strRef>
          </c:cat>
          <c:val>
            <c:numRef>
              <c:f>'D_Ch4-1'!$H$166:$M$166</c:f>
              <c:numCache>
                <c:formatCode>0</c:formatCode>
                <c:ptCount val="6"/>
                <c:pt idx="0">
                  <c:v>100</c:v>
                </c:pt>
                <c:pt idx="1">
                  <c:v>100.11105235325223</c:v>
                </c:pt>
                <c:pt idx="2">
                  <c:v>103.36329984135378</c:v>
                </c:pt>
                <c:pt idx="3">
                  <c:v>100.56583818085669</c:v>
                </c:pt>
                <c:pt idx="4">
                  <c:v>101.02062400846113</c:v>
                </c:pt>
                <c:pt idx="5">
                  <c:v>101.27710206240084</c:v>
                </c:pt>
              </c:numCache>
            </c:numRef>
          </c:val>
          <c:smooth val="0"/>
          <c:extLst>
            <c:ext xmlns:c16="http://schemas.microsoft.com/office/drawing/2014/chart" uri="{C3380CC4-5D6E-409C-BE32-E72D297353CC}">
              <c16:uniqueId val="{00000029-B03D-49F9-9E6E-036047CD5716}"/>
            </c:ext>
          </c:extLst>
        </c:ser>
        <c:ser>
          <c:idx val="6"/>
          <c:order val="6"/>
          <c:tx>
            <c:strRef>
              <c:f>'D_Ch4-1'!$A$167</c:f>
              <c:strCache>
                <c:ptCount val="1"/>
                <c:pt idx="0">
                  <c:v>Nord </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A-B03D-49F9-9E6E-036047CD5716}"/>
                </c:ext>
              </c:extLst>
            </c:dLbl>
            <c:dLbl>
              <c:idx val="1"/>
              <c:delete val="1"/>
              <c:extLst>
                <c:ext xmlns:c15="http://schemas.microsoft.com/office/drawing/2012/chart" uri="{CE6537A1-D6FC-4f65-9D91-7224C49458BB}"/>
                <c:ext xmlns:c16="http://schemas.microsoft.com/office/drawing/2014/chart" uri="{C3380CC4-5D6E-409C-BE32-E72D297353CC}">
                  <c16:uniqueId val="{0000002B-B03D-49F9-9E6E-036047CD5716}"/>
                </c:ext>
              </c:extLst>
            </c:dLbl>
            <c:dLbl>
              <c:idx val="2"/>
              <c:delete val="1"/>
              <c:extLst>
                <c:ext xmlns:c15="http://schemas.microsoft.com/office/drawing/2012/chart" uri="{CE6537A1-D6FC-4f65-9D91-7224C49458BB}"/>
                <c:ext xmlns:c16="http://schemas.microsoft.com/office/drawing/2014/chart" uri="{C3380CC4-5D6E-409C-BE32-E72D297353CC}">
                  <c16:uniqueId val="{0000002C-B03D-49F9-9E6E-036047CD5716}"/>
                </c:ext>
              </c:extLst>
            </c:dLbl>
            <c:dLbl>
              <c:idx val="3"/>
              <c:delete val="1"/>
              <c:extLst>
                <c:ext xmlns:c15="http://schemas.microsoft.com/office/drawing/2012/chart" uri="{CE6537A1-D6FC-4f65-9D91-7224C49458BB}"/>
                <c:ext xmlns:c16="http://schemas.microsoft.com/office/drawing/2014/chart" uri="{C3380CC4-5D6E-409C-BE32-E72D297353CC}">
                  <c16:uniqueId val="{0000002D-B03D-49F9-9E6E-036047CD5716}"/>
                </c:ext>
              </c:extLst>
            </c:dLbl>
            <c:dLbl>
              <c:idx val="4"/>
              <c:delete val="1"/>
              <c:extLst>
                <c:ext xmlns:c15="http://schemas.microsoft.com/office/drawing/2012/chart" uri="{CE6537A1-D6FC-4f65-9D91-7224C49458BB}"/>
                <c:ext xmlns:c16="http://schemas.microsoft.com/office/drawing/2014/chart" uri="{C3380CC4-5D6E-409C-BE32-E72D297353CC}">
                  <c16:uniqueId val="{0000002E-B03D-49F9-9E6E-036047CD5716}"/>
                </c:ext>
              </c:extLst>
            </c:dLbl>
            <c:dLbl>
              <c:idx val="5"/>
              <c:layout>
                <c:manualLayout>
                  <c:x val="-5.5969529420062288E-2"/>
                  <c:y val="-2.838043086112385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F-B03D-49F9-9E6E-036047CD5716}"/>
                </c:ext>
              </c:extLst>
            </c:dLbl>
            <c:spPr>
              <a:noFill/>
              <a:ln>
                <a:noFill/>
              </a:ln>
              <a:effectLst/>
            </c:spPr>
            <c:txPr>
              <a:bodyPr/>
              <a:lstStyle/>
              <a:p>
                <a:pPr>
                  <a:defRPr sz="800" b="1" i="1">
                    <a:solidFill>
                      <a:schemeClr val="accent1"/>
                    </a:solidFil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'D_Ch4-1'!$H$160:$M$160</c:f>
              <c:strCache>
                <c:ptCount val="6"/>
                <c:pt idx="0">
                  <c:v>2010</c:v>
                </c:pt>
                <c:pt idx="1">
                  <c:v>2011</c:v>
                </c:pt>
                <c:pt idx="2">
                  <c:v>2012</c:v>
                </c:pt>
                <c:pt idx="3">
                  <c:v>2013</c:v>
                </c:pt>
                <c:pt idx="4">
                  <c:v>2014</c:v>
                </c:pt>
                <c:pt idx="5">
                  <c:v>2015</c:v>
                </c:pt>
              </c:strCache>
            </c:strRef>
          </c:cat>
          <c:val>
            <c:numRef>
              <c:f>'D_Ch4-1'!$H$167:$M$167</c:f>
              <c:numCache>
                <c:formatCode>0</c:formatCode>
                <c:ptCount val="6"/>
                <c:pt idx="0">
                  <c:v>100</c:v>
                </c:pt>
                <c:pt idx="1">
                  <c:v>102.96388463501786</c:v>
                </c:pt>
                <c:pt idx="2">
                  <c:v>101.20278203164881</c:v>
                </c:pt>
                <c:pt idx="3">
                  <c:v>101.70686574783052</c:v>
                </c:pt>
                <c:pt idx="4">
                  <c:v>101.4612046962736</c:v>
                </c:pt>
                <c:pt idx="5">
                  <c:v>102.83626850433896</c:v>
                </c:pt>
              </c:numCache>
            </c:numRef>
          </c:val>
          <c:smooth val="0"/>
          <c:extLst>
            <c:ext xmlns:c16="http://schemas.microsoft.com/office/drawing/2014/chart" uri="{C3380CC4-5D6E-409C-BE32-E72D297353CC}">
              <c16:uniqueId val="{00000030-B03D-49F9-9E6E-036047CD5716}"/>
            </c:ext>
          </c:extLst>
        </c:ser>
        <c:dLbls>
          <c:showLegendKey val="0"/>
          <c:showVal val="0"/>
          <c:showCatName val="0"/>
          <c:showSerName val="0"/>
          <c:showPercent val="0"/>
          <c:showBubbleSize val="0"/>
        </c:dLbls>
        <c:smooth val="0"/>
        <c:axId val="346564864"/>
        <c:axId val="346591232"/>
      </c:lineChart>
      <c:catAx>
        <c:axId val="346564864"/>
        <c:scaling>
          <c:orientation val="minMax"/>
        </c:scaling>
        <c:delete val="0"/>
        <c:axPos val="b"/>
        <c:numFmt formatCode="General" sourceLinked="0"/>
        <c:majorTickMark val="out"/>
        <c:minorTickMark val="none"/>
        <c:tickLblPos val="nextTo"/>
        <c:txPr>
          <a:bodyPr/>
          <a:lstStyle/>
          <a:p>
            <a:pPr>
              <a:defRPr sz="900"/>
            </a:pPr>
            <a:endParaRPr lang="fr-FR"/>
          </a:p>
        </c:txPr>
        <c:crossAx val="346591232"/>
        <c:crosses val="autoZero"/>
        <c:auto val="1"/>
        <c:lblAlgn val="ctr"/>
        <c:lblOffset val="100"/>
        <c:noMultiLvlLbl val="0"/>
      </c:catAx>
      <c:valAx>
        <c:axId val="346591232"/>
        <c:scaling>
          <c:orientation val="minMax"/>
          <c:max val="110"/>
          <c:min val="98"/>
        </c:scaling>
        <c:delete val="0"/>
        <c:axPos val="l"/>
        <c:majorGridlines/>
        <c:numFmt formatCode="0" sourceLinked="1"/>
        <c:majorTickMark val="out"/>
        <c:minorTickMark val="none"/>
        <c:tickLblPos val="nextTo"/>
        <c:txPr>
          <a:bodyPr/>
          <a:lstStyle/>
          <a:p>
            <a:pPr>
              <a:defRPr sz="900"/>
            </a:pPr>
            <a:endParaRPr lang="fr-FR"/>
          </a:p>
        </c:txPr>
        <c:crossAx val="346564864"/>
        <c:crosses val="autoZero"/>
        <c:crossBetween val="midCat"/>
        <c:majorUnit val="2"/>
      </c:valAx>
    </c:plotArea>
    <c:plotVisOnly val="1"/>
    <c:dispBlanksAs val="gap"/>
    <c:showDLblsOverMax val="0"/>
  </c:chart>
  <c:spPr>
    <a:ln>
      <a:noFill/>
    </a:ln>
  </c:sp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858406465711603E-2"/>
          <c:y val="4.6356609417194224E-2"/>
          <c:w val="0.74214789845225237"/>
          <c:h val="0.64397327576309205"/>
        </c:manualLayout>
      </c:layout>
      <c:barChart>
        <c:barDir val="col"/>
        <c:grouping val="clustered"/>
        <c:varyColors val="0"/>
        <c:ser>
          <c:idx val="0"/>
          <c:order val="0"/>
          <c:tx>
            <c:strRef>
              <c:f>'D_Ch4-2'!$B$68</c:f>
              <c:strCache>
                <c:ptCount val="1"/>
                <c:pt idx="0">
                  <c:v>Tonnage</c:v>
                </c:pt>
              </c:strCache>
            </c:strRef>
          </c:tx>
          <c:spPr>
            <a:solidFill>
              <a:srgbClr val="4BACC6">
                <a:lumMod val="40000"/>
                <a:lumOff val="60000"/>
              </a:srgbClr>
            </a:solidFill>
            <a:ln w="28575">
              <a:noFill/>
            </a:ln>
          </c:spPr>
          <c:invertIfNegative val="0"/>
          <c:cat>
            <c:strRef>
              <c:f>'D_Ch4-2'!$A$69:$A$81</c:f>
              <c:strCache>
                <c:ptCount val="12"/>
                <c:pt idx="0">
                  <c:v>Marseille</c:v>
                </c:pt>
                <c:pt idx="1">
                  <c:v>Le Havre</c:v>
                </c:pt>
                <c:pt idx="2">
                  <c:v>Dunkerque</c:v>
                </c:pt>
                <c:pt idx="3">
                  <c:v>Calais</c:v>
                </c:pt>
                <c:pt idx="4">
                  <c:v>Nantes / St- Nazaire</c:v>
                </c:pt>
                <c:pt idx="5">
                  <c:v>Rouen</c:v>
                </c:pt>
                <c:pt idx="6">
                  <c:v>La Rochelle</c:v>
                </c:pt>
                <c:pt idx="7">
                  <c:v>Bordeaux</c:v>
                </c:pt>
                <c:pt idx="8">
                  <c:v>Sète</c:v>
                </c:pt>
                <c:pt idx="9">
                  <c:v>Caen Ouistreham</c:v>
                </c:pt>
                <c:pt idx="10">
                  <c:v>Bastia</c:v>
                </c:pt>
                <c:pt idx="11">
                  <c:v>Bayonne</c:v>
                </c:pt>
              </c:strCache>
            </c:strRef>
          </c:cat>
          <c:val>
            <c:numRef>
              <c:f>'D_Ch4-2'!$B$69:$B$80</c:f>
              <c:numCache>
                <c:formatCode>#,##0</c:formatCode>
                <c:ptCount val="12"/>
                <c:pt idx="0">
                  <c:v>81730583</c:v>
                </c:pt>
                <c:pt idx="1">
                  <c:v>68316557</c:v>
                </c:pt>
                <c:pt idx="2">
                  <c:v>46591693</c:v>
                </c:pt>
                <c:pt idx="3">
                  <c:v>41873115</c:v>
                </c:pt>
                <c:pt idx="4">
                  <c:v>25386444</c:v>
                </c:pt>
                <c:pt idx="5">
                  <c:v>22519532</c:v>
                </c:pt>
                <c:pt idx="6">
                  <c:v>9809943</c:v>
                </c:pt>
                <c:pt idx="7">
                  <c:v>8385070</c:v>
                </c:pt>
                <c:pt idx="8">
                  <c:v>3751421</c:v>
                </c:pt>
                <c:pt idx="9">
                  <c:v>3296800</c:v>
                </c:pt>
                <c:pt idx="10">
                  <c:v>3093996</c:v>
                </c:pt>
                <c:pt idx="11">
                  <c:v>2323580</c:v>
                </c:pt>
              </c:numCache>
            </c:numRef>
          </c:val>
          <c:extLst>
            <c:ext xmlns:c16="http://schemas.microsoft.com/office/drawing/2014/chart" uri="{C3380CC4-5D6E-409C-BE32-E72D297353CC}">
              <c16:uniqueId val="{00000000-EE37-497D-A1C3-DB603C586D2F}"/>
            </c:ext>
          </c:extLst>
        </c:ser>
        <c:dLbls>
          <c:showLegendKey val="0"/>
          <c:showVal val="0"/>
          <c:showCatName val="0"/>
          <c:showSerName val="0"/>
          <c:showPercent val="0"/>
          <c:showBubbleSize val="0"/>
        </c:dLbls>
        <c:gapWidth val="150"/>
        <c:axId val="346725376"/>
        <c:axId val="346886912"/>
      </c:barChart>
      <c:scatterChart>
        <c:scatterStyle val="lineMarker"/>
        <c:varyColors val="0"/>
        <c:ser>
          <c:idx val="1"/>
          <c:order val="1"/>
          <c:tx>
            <c:strRef>
              <c:f>'D_Ch4-2'!$D$48</c:f>
              <c:strCache>
                <c:ptCount val="1"/>
                <c:pt idx="0">
                  <c:v>Évolution 14-15</c:v>
                </c:pt>
              </c:strCache>
            </c:strRef>
          </c:tx>
          <c:spPr>
            <a:ln w="28575">
              <a:noFill/>
            </a:ln>
          </c:spPr>
          <c:marker>
            <c:symbol val="picture"/>
            <c:spPr>
              <a:blipFill>
                <a:blip xmlns:r="http://schemas.openxmlformats.org/officeDocument/2006/relationships" r:embed="rId2"/>
                <a:stretch>
                  <a:fillRect/>
                </a:stretch>
              </a:blipFill>
              <a:ln>
                <a:noFill/>
              </a:ln>
            </c:spPr>
          </c:marker>
          <c:dPt>
            <c:idx val="2"/>
            <c:marker>
              <c:spPr>
                <a:blipFill>
                  <a:blip xmlns:r="http://schemas.openxmlformats.org/officeDocument/2006/relationships" r:embed="rId3"/>
                  <a:stretch>
                    <a:fillRect/>
                  </a:stretch>
                </a:blipFill>
                <a:ln>
                  <a:noFill/>
                </a:ln>
              </c:spPr>
            </c:marker>
            <c:bubble3D val="0"/>
            <c:extLst>
              <c:ext xmlns:c16="http://schemas.microsoft.com/office/drawing/2014/chart" uri="{C3380CC4-5D6E-409C-BE32-E72D297353CC}">
                <c16:uniqueId val="{00000001-EE37-497D-A1C3-DB603C586D2F}"/>
              </c:ext>
            </c:extLst>
          </c:dPt>
          <c:dPt>
            <c:idx val="3"/>
            <c:marker>
              <c:spPr>
                <a:blipFill>
                  <a:blip xmlns:r="http://schemas.openxmlformats.org/officeDocument/2006/relationships" r:embed="rId3"/>
                  <a:stretch>
                    <a:fillRect/>
                  </a:stretch>
                </a:blipFill>
                <a:ln>
                  <a:noFill/>
                </a:ln>
              </c:spPr>
            </c:marker>
            <c:bubble3D val="0"/>
            <c:extLst>
              <c:ext xmlns:c16="http://schemas.microsoft.com/office/drawing/2014/chart" uri="{C3380CC4-5D6E-409C-BE32-E72D297353CC}">
                <c16:uniqueId val="{00000002-EE37-497D-A1C3-DB603C586D2F}"/>
              </c:ext>
            </c:extLst>
          </c:dPt>
          <c:dPt>
            <c:idx val="4"/>
            <c:marker>
              <c:spPr>
                <a:blipFill>
                  <a:blip xmlns:r="http://schemas.openxmlformats.org/officeDocument/2006/relationships" r:embed="rId3"/>
                  <a:stretch>
                    <a:fillRect/>
                  </a:stretch>
                </a:blipFill>
                <a:ln>
                  <a:noFill/>
                </a:ln>
              </c:spPr>
            </c:marker>
            <c:bubble3D val="0"/>
            <c:extLst>
              <c:ext xmlns:c16="http://schemas.microsoft.com/office/drawing/2014/chart" uri="{C3380CC4-5D6E-409C-BE32-E72D297353CC}">
                <c16:uniqueId val="{00000003-EE37-497D-A1C3-DB603C586D2F}"/>
              </c:ext>
            </c:extLst>
          </c:dPt>
          <c:dPt>
            <c:idx val="7"/>
            <c:marker>
              <c:spPr>
                <a:blipFill>
                  <a:blip xmlns:r="http://schemas.openxmlformats.org/officeDocument/2006/relationships" r:embed="rId3"/>
                  <a:stretch>
                    <a:fillRect/>
                  </a:stretch>
                </a:blipFill>
                <a:ln>
                  <a:noFill/>
                </a:ln>
              </c:spPr>
            </c:marker>
            <c:bubble3D val="0"/>
            <c:extLst>
              <c:ext xmlns:c16="http://schemas.microsoft.com/office/drawing/2014/chart" uri="{C3380CC4-5D6E-409C-BE32-E72D297353CC}">
                <c16:uniqueId val="{00000004-EE37-497D-A1C3-DB603C586D2F}"/>
              </c:ext>
            </c:extLst>
          </c:dPt>
          <c:dPt>
            <c:idx val="11"/>
            <c:marker>
              <c:spPr>
                <a:blipFill>
                  <a:blip xmlns:r="http://schemas.openxmlformats.org/officeDocument/2006/relationships" r:embed="rId3"/>
                  <a:stretch>
                    <a:fillRect/>
                  </a:stretch>
                </a:blipFill>
                <a:ln>
                  <a:noFill/>
                </a:ln>
              </c:spPr>
            </c:marker>
            <c:bubble3D val="0"/>
            <c:extLst>
              <c:ext xmlns:c16="http://schemas.microsoft.com/office/drawing/2014/chart" uri="{C3380CC4-5D6E-409C-BE32-E72D297353CC}">
                <c16:uniqueId val="{00000005-EE37-497D-A1C3-DB603C586D2F}"/>
              </c:ext>
            </c:extLst>
          </c:dPt>
          <c:dLbls>
            <c:dLbl>
              <c:idx val="0"/>
              <c:layout>
                <c:manualLayout>
                  <c:x val="-3.4741549078301522E-2"/>
                  <c:y val="-5.75895331926446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37-497D-A1C3-DB603C586D2F}"/>
                </c:ext>
              </c:extLst>
            </c:dLbl>
            <c:dLbl>
              <c:idx val="1"/>
              <c:layout>
                <c:manualLayout>
                  <c:x val="-3.4741549078301522E-2"/>
                  <c:y val="-5.3286193123059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37-497D-A1C3-DB603C586D2F}"/>
                </c:ext>
              </c:extLst>
            </c:dLbl>
            <c:dLbl>
              <c:idx val="3"/>
              <c:layout>
                <c:manualLayout>
                  <c:x val="-3.8828858213418631E-2"/>
                  <c:y val="-4.0376172914303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37-497D-A1C3-DB603C586D2F}"/>
                </c:ext>
              </c:extLst>
            </c:dLbl>
            <c:dLbl>
              <c:idx val="4"/>
              <c:layout>
                <c:manualLayout>
                  <c:x val="-3.8828713570870151E-2"/>
                  <c:y val="-5.328619312305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37-497D-A1C3-DB603C586D2F}"/>
                </c:ext>
              </c:extLst>
            </c:dLbl>
            <c:dLbl>
              <c:idx val="5"/>
              <c:layout>
                <c:manualLayout>
                  <c:x val="-3.4741549078301522E-2"/>
                  <c:y val="-5.328619312305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37-497D-A1C3-DB603C586D2F}"/>
                </c:ext>
              </c:extLst>
            </c:dLbl>
            <c:dLbl>
              <c:idx val="6"/>
              <c:layout>
                <c:manualLayout>
                  <c:x val="-3.4741549078301522E-2"/>
                  <c:y val="-5.328619312305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37-497D-A1C3-DB603C586D2F}"/>
                </c:ext>
              </c:extLst>
            </c:dLbl>
            <c:dLbl>
              <c:idx val="7"/>
              <c:layout>
                <c:manualLayout>
                  <c:x val="-3.6991753205098073E-2"/>
                  <c:y val="-5.75895331926446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37-497D-A1C3-DB603C586D2F}"/>
                </c:ext>
              </c:extLst>
            </c:dLbl>
            <c:dLbl>
              <c:idx val="8"/>
              <c:layout>
                <c:manualLayout>
                  <c:x val="-3.8465950059267215E-2"/>
                  <c:y val="-5.328619312305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37-497D-A1C3-DB603C586D2F}"/>
                </c:ext>
              </c:extLst>
            </c:dLbl>
            <c:dLbl>
              <c:idx val="9"/>
              <c:layout>
                <c:manualLayout>
                  <c:x val="-3.4741549078301522E-2"/>
                  <c:y val="-5.328619312305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E37-497D-A1C3-DB603C586D2F}"/>
                </c:ext>
              </c:extLst>
            </c:dLbl>
            <c:dLbl>
              <c:idx val="10"/>
              <c:layout>
                <c:manualLayout>
                  <c:x val="-3.6578509444073599E-2"/>
                  <c:y val="-5.328619312305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E37-497D-A1C3-DB603C586D2F}"/>
                </c:ext>
              </c:extLst>
            </c:dLbl>
            <c:dLbl>
              <c:idx val="11"/>
              <c:layout>
                <c:manualLayout>
                  <c:x val="-4.25532591943844E-2"/>
                  <c:y val="-5.75895331926446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37-497D-A1C3-DB603C586D2F}"/>
                </c:ext>
              </c:extLst>
            </c:dLbl>
            <c:spPr>
              <a:noFill/>
              <a:ln>
                <a:noFill/>
              </a:ln>
              <a:effectLst/>
            </c:spPr>
            <c:txPr>
              <a:bodyPr/>
              <a:lstStyle/>
              <a:p>
                <a:pPr>
                  <a:defRPr sz="800">
                    <a:solidFill>
                      <a:srgbClr val="000000"/>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yVal>
            <c:numRef>
              <c:f>'D_Ch4-2'!$D$50:$D$61</c:f>
              <c:numCache>
                <c:formatCode>0.0%</c:formatCode>
                <c:ptCount val="12"/>
                <c:pt idx="0">
                  <c:v>4.0885640265484184E-2</c:v>
                </c:pt>
                <c:pt idx="1">
                  <c:v>2.1366243675343215E-2</c:v>
                </c:pt>
                <c:pt idx="2">
                  <c:v>-1.079208067940552E-2</c:v>
                </c:pt>
                <c:pt idx="3">
                  <c:v>-3.235770494355867E-2</c:v>
                </c:pt>
                <c:pt idx="4">
                  <c:v>-4.1995096924128214E-2</c:v>
                </c:pt>
                <c:pt idx="5">
                  <c:v>3.9155184347745835E-2</c:v>
                </c:pt>
                <c:pt idx="6">
                  <c:v>4.3453440379585255E-2</c:v>
                </c:pt>
                <c:pt idx="7">
                  <c:v>-1.6758931471542532E-2</c:v>
                </c:pt>
                <c:pt idx="8">
                  <c:v>0.1469103391642588</c:v>
                </c:pt>
                <c:pt idx="9">
                  <c:v>5.5656349404063929E-2</c:v>
                </c:pt>
                <c:pt idx="10">
                  <c:v>1.2266632815344857E-2</c:v>
                </c:pt>
                <c:pt idx="11">
                  <c:v>-0.10715088534459868</c:v>
                </c:pt>
              </c:numCache>
            </c:numRef>
          </c:yVal>
          <c:smooth val="0"/>
          <c:extLst>
            <c:ext xmlns:c16="http://schemas.microsoft.com/office/drawing/2014/chart" uri="{C3380CC4-5D6E-409C-BE32-E72D297353CC}">
              <c16:uniqueId val="{0000000D-EE37-497D-A1C3-DB603C586D2F}"/>
            </c:ext>
          </c:extLst>
        </c:ser>
        <c:dLbls>
          <c:showLegendKey val="0"/>
          <c:showVal val="0"/>
          <c:showCatName val="0"/>
          <c:showSerName val="0"/>
          <c:showPercent val="0"/>
          <c:showBubbleSize val="0"/>
        </c:dLbls>
        <c:axId val="346890240"/>
        <c:axId val="346888448"/>
      </c:scatterChart>
      <c:catAx>
        <c:axId val="346725376"/>
        <c:scaling>
          <c:orientation val="minMax"/>
        </c:scaling>
        <c:delete val="0"/>
        <c:axPos val="b"/>
        <c:numFmt formatCode="General" sourceLinked="1"/>
        <c:majorTickMark val="out"/>
        <c:minorTickMark val="none"/>
        <c:tickLblPos val="nextTo"/>
        <c:txPr>
          <a:bodyPr rot="-5400000" vert="horz"/>
          <a:lstStyle/>
          <a:p>
            <a:pPr>
              <a:defRPr sz="800"/>
            </a:pPr>
            <a:endParaRPr lang="fr-FR"/>
          </a:p>
        </c:txPr>
        <c:crossAx val="346886912"/>
        <c:crosses val="autoZero"/>
        <c:auto val="1"/>
        <c:lblAlgn val="ctr"/>
        <c:lblOffset val="100"/>
        <c:noMultiLvlLbl val="0"/>
      </c:catAx>
      <c:valAx>
        <c:axId val="346886912"/>
        <c:scaling>
          <c:orientation val="minMax"/>
        </c:scaling>
        <c:delete val="0"/>
        <c:axPos val="l"/>
        <c:numFmt formatCode="#,##0" sourceLinked="0"/>
        <c:majorTickMark val="out"/>
        <c:minorTickMark val="none"/>
        <c:tickLblPos val="nextTo"/>
        <c:txPr>
          <a:bodyPr/>
          <a:lstStyle/>
          <a:p>
            <a:pPr>
              <a:defRPr sz="800"/>
            </a:pPr>
            <a:endParaRPr lang="fr-FR"/>
          </a:p>
        </c:txPr>
        <c:crossAx val="346725376"/>
        <c:crosses val="autoZero"/>
        <c:crossBetween val="between"/>
      </c:valAx>
      <c:valAx>
        <c:axId val="346888448"/>
        <c:scaling>
          <c:orientation val="minMax"/>
        </c:scaling>
        <c:delete val="0"/>
        <c:axPos val="r"/>
        <c:numFmt formatCode="0%" sourceLinked="0"/>
        <c:majorTickMark val="out"/>
        <c:minorTickMark val="none"/>
        <c:tickLblPos val="nextTo"/>
        <c:txPr>
          <a:bodyPr/>
          <a:lstStyle/>
          <a:p>
            <a:pPr>
              <a:defRPr sz="800"/>
            </a:pPr>
            <a:endParaRPr lang="fr-FR"/>
          </a:p>
        </c:txPr>
        <c:crossAx val="346890240"/>
        <c:crosses val="max"/>
        <c:crossBetween val="midCat"/>
      </c:valAx>
      <c:valAx>
        <c:axId val="346890240"/>
        <c:scaling>
          <c:orientation val="minMax"/>
        </c:scaling>
        <c:delete val="1"/>
        <c:axPos val="b"/>
        <c:majorTickMark val="out"/>
        <c:minorTickMark val="none"/>
        <c:tickLblPos val="nextTo"/>
        <c:crossAx val="346888448"/>
        <c:crosses val="autoZero"/>
        <c:crossBetween val="midCat"/>
      </c:valAx>
    </c:plotArea>
    <c:legend>
      <c:legendPos val="r"/>
      <c:layout>
        <c:manualLayout>
          <c:xMode val="edge"/>
          <c:yMode val="edge"/>
          <c:x val="0.88834450778448804"/>
          <c:y val="0.404969713973589"/>
          <c:w val="0.1116556623196545"/>
          <c:h val="0.1393408698903971"/>
        </c:manualLayout>
      </c:layout>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9.7858406465711603E-2"/>
          <c:y val="4.6356609417194224E-2"/>
          <c:w val="0.73346787826820448"/>
          <c:h val="0.60864734423440847"/>
        </c:manualLayout>
      </c:layout>
      <c:barChart>
        <c:barDir val="col"/>
        <c:grouping val="clustered"/>
        <c:varyColors val="0"/>
        <c:ser>
          <c:idx val="0"/>
          <c:order val="0"/>
          <c:tx>
            <c:strRef>
              <c:f>'D_Ch4-2'!$B$110</c:f>
              <c:strCache>
                <c:ptCount val="1"/>
                <c:pt idx="0">
                  <c:v>Voyageurs 2016</c:v>
                </c:pt>
              </c:strCache>
            </c:strRef>
          </c:tx>
          <c:spPr>
            <a:solidFill>
              <a:schemeClr val="accent6">
                <a:lumMod val="60000"/>
                <a:lumOff val="40000"/>
              </a:schemeClr>
            </a:solidFill>
          </c:spPr>
          <c:invertIfNegative val="0"/>
          <c:cat>
            <c:strRef>
              <c:f>'D_Ch4-2'!$A$111:$A$122</c:f>
              <c:strCache>
                <c:ptCount val="12"/>
                <c:pt idx="0">
                  <c:v>Lyon Part Dieu</c:v>
                </c:pt>
                <c:pt idx="1">
                  <c:v>Lille Flandres</c:v>
                </c:pt>
                <c:pt idx="2">
                  <c:v>Strasbourg</c:v>
                </c:pt>
                <c:pt idx="3">
                  <c:v>Marseille Saint-Charles</c:v>
                </c:pt>
                <c:pt idx="4">
                  <c:v>Bordeaux Saint-Jean</c:v>
                </c:pt>
                <c:pt idx="5">
                  <c:v>Nantes</c:v>
                </c:pt>
                <c:pt idx="6">
                  <c:v>Toulouse Matabiau</c:v>
                </c:pt>
                <c:pt idx="7">
                  <c:v>Rennes</c:v>
                </c:pt>
                <c:pt idx="8">
                  <c:v>Montpellier Saint-Roch</c:v>
                </c:pt>
                <c:pt idx="9">
                  <c:v>Nancy</c:v>
                </c:pt>
                <c:pt idx="10">
                  <c:v>Grenoble</c:v>
                </c:pt>
                <c:pt idx="11">
                  <c:v>Lille Europe</c:v>
                </c:pt>
              </c:strCache>
            </c:strRef>
          </c:cat>
          <c:val>
            <c:numRef>
              <c:f>'D_Ch4-2'!$B$111:$B$122</c:f>
              <c:numCache>
                <c:formatCode>General</c:formatCode>
                <c:ptCount val="12"/>
                <c:pt idx="0">
                  <c:v>29876563</c:v>
                </c:pt>
                <c:pt idx="1">
                  <c:v>18023854</c:v>
                </c:pt>
                <c:pt idx="2">
                  <c:v>18336028</c:v>
                </c:pt>
                <c:pt idx="3">
                  <c:v>12206077</c:v>
                </c:pt>
                <c:pt idx="4">
                  <c:v>12253951</c:v>
                </c:pt>
                <c:pt idx="5">
                  <c:v>11009424</c:v>
                </c:pt>
                <c:pt idx="6">
                  <c:v>10035656</c:v>
                </c:pt>
                <c:pt idx="7">
                  <c:v>9531299</c:v>
                </c:pt>
                <c:pt idx="8">
                  <c:v>8222823</c:v>
                </c:pt>
                <c:pt idx="9">
                  <c:v>7670652</c:v>
                </c:pt>
                <c:pt idx="10">
                  <c:v>7256999</c:v>
                </c:pt>
                <c:pt idx="11">
                  <c:v>7133768</c:v>
                </c:pt>
              </c:numCache>
            </c:numRef>
          </c:val>
          <c:extLst>
            <c:ext xmlns:c16="http://schemas.microsoft.com/office/drawing/2014/chart" uri="{C3380CC4-5D6E-409C-BE32-E72D297353CC}">
              <c16:uniqueId val="{00000000-E32F-4337-84AD-E0C25AE11AFC}"/>
            </c:ext>
          </c:extLst>
        </c:ser>
        <c:dLbls>
          <c:showLegendKey val="0"/>
          <c:showVal val="0"/>
          <c:showCatName val="0"/>
          <c:showSerName val="0"/>
          <c:showPercent val="0"/>
          <c:showBubbleSize val="0"/>
        </c:dLbls>
        <c:gapWidth val="150"/>
        <c:axId val="346968448"/>
        <c:axId val="346969984"/>
      </c:barChart>
      <c:scatterChart>
        <c:scatterStyle val="lineMarker"/>
        <c:varyColors val="0"/>
        <c:ser>
          <c:idx val="1"/>
          <c:order val="1"/>
          <c:tx>
            <c:strRef>
              <c:f>'D_Ch4-2'!$C$110</c:f>
              <c:strCache>
                <c:ptCount val="1"/>
                <c:pt idx="0">
                  <c:v>Évolution 15-16</c:v>
                </c:pt>
              </c:strCache>
            </c:strRef>
          </c:tx>
          <c:spPr>
            <a:ln w="28575">
              <a:noFill/>
            </a:ln>
          </c:spPr>
          <c:marker>
            <c:symbol val="picture"/>
            <c:spPr>
              <a:blipFill>
                <a:blip xmlns:r="http://schemas.openxmlformats.org/officeDocument/2006/relationships" r:embed="rId1"/>
                <a:stretch>
                  <a:fillRect/>
                </a:stretch>
              </a:blipFill>
              <a:ln>
                <a:noFill/>
              </a:ln>
            </c:spPr>
          </c:marker>
          <c:dPt>
            <c:idx val="0"/>
            <c:marker>
              <c:spPr>
                <a:blipFill>
                  <a:blip xmlns:r="http://schemas.openxmlformats.org/officeDocument/2006/relationships" r:embed="rId2"/>
                  <a:stretch>
                    <a:fillRect/>
                  </a:stretch>
                </a:blipFill>
                <a:ln>
                  <a:noFill/>
                </a:ln>
              </c:spPr>
            </c:marker>
            <c:bubble3D val="0"/>
            <c:extLst>
              <c:ext xmlns:c16="http://schemas.microsoft.com/office/drawing/2014/chart" uri="{C3380CC4-5D6E-409C-BE32-E72D297353CC}">
                <c16:uniqueId val="{00000001-E32F-4337-84AD-E0C25AE11AFC}"/>
              </c:ext>
            </c:extLst>
          </c:dPt>
          <c:dPt>
            <c:idx val="1"/>
            <c:marker>
              <c:spPr>
                <a:blipFill>
                  <a:blip xmlns:r="http://schemas.openxmlformats.org/officeDocument/2006/relationships" r:embed="rId3"/>
                  <a:stretch>
                    <a:fillRect/>
                  </a:stretch>
                </a:blipFill>
                <a:ln>
                  <a:noFill/>
                </a:ln>
              </c:spPr>
            </c:marker>
            <c:bubble3D val="0"/>
            <c:extLst>
              <c:ext xmlns:c16="http://schemas.microsoft.com/office/drawing/2014/chart" uri="{C3380CC4-5D6E-409C-BE32-E72D297353CC}">
                <c16:uniqueId val="{00000002-E32F-4337-84AD-E0C25AE11AFC}"/>
              </c:ext>
            </c:extLst>
          </c:dPt>
          <c:dPt>
            <c:idx val="2"/>
            <c:marker>
              <c:spPr>
                <a:blipFill dpi="0" rotWithShape="1">
                  <a:blip xmlns:r="http://schemas.openxmlformats.org/officeDocument/2006/relationships" r:embed="rId4"/>
                  <a:srcRect/>
                  <a:stretch>
                    <a:fillRect t="30000" b="20000"/>
                  </a:stretch>
                </a:blipFill>
                <a:ln>
                  <a:noFill/>
                </a:ln>
              </c:spPr>
            </c:marker>
            <c:bubble3D val="0"/>
            <c:extLst>
              <c:ext xmlns:c16="http://schemas.microsoft.com/office/drawing/2014/chart" uri="{C3380CC4-5D6E-409C-BE32-E72D297353CC}">
                <c16:uniqueId val="{00000003-E32F-4337-84AD-E0C25AE11AFC}"/>
              </c:ext>
            </c:extLst>
          </c:dPt>
          <c:dPt>
            <c:idx val="3"/>
            <c:marker>
              <c:spPr>
                <a:blipFill>
                  <a:blip xmlns:r="http://schemas.openxmlformats.org/officeDocument/2006/relationships" r:embed="rId3"/>
                  <a:stretch>
                    <a:fillRect/>
                  </a:stretch>
                </a:blipFill>
                <a:ln>
                  <a:noFill/>
                </a:ln>
              </c:spPr>
            </c:marker>
            <c:bubble3D val="0"/>
            <c:extLst>
              <c:ext xmlns:c16="http://schemas.microsoft.com/office/drawing/2014/chart" uri="{C3380CC4-5D6E-409C-BE32-E72D297353CC}">
                <c16:uniqueId val="{00000004-E32F-4337-84AD-E0C25AE11AFC}"/>
              </c:ext>
            </c:extLst>
          </c:dPt>
          <c:dPt>
            <c:idx val="4"/>
            <c:marker>
              <c:spPr>
                <a:blipFill dpi="0" rotWithShape="1">
                  <a:blip xmlns:r="http://schemas.openxmlformats.org/officeDocument/2006/relationships" r:embed="rId4"/>
                  <a:srcRect/>
                  <a:stretch>
                    <a:fillRect t="30000" b="20000"/>
                  </a:stretch>
                </a:blipFill>
                <a:ln>
                  <a:noFill/>
                </a:ln>
              </c:spPr>
            </c:marker>
            <c:bubble3D val="0"/>
            <c:extLst>
              <c:ext xmlns:c16="http://schemas.microsoft.com/office/drawing/2014/chart" uri="{C3380CC4-5D6E-409C-BE32-E72D297353CC}">
                <c16:uniqueId val="{00000005-E32F-4337-84AD-E0C25AE11AFC}"/>
              </c:ext>
            </c:extLst>
          </c:dPt>
          <c:dPt>
            <c:idx val="6"/>
            <c:marker>
              <c:spPr>
                <a:blipFill dpi="0" rotWithShape="1">
                  <a:blip xmlns:r="http://schemas.openxmlformats.org/officeDocument/2006/relationships" r:embed="rId4"/>
                  <a:srcRect/>
                  <a:stretch>
                    <a:fillRect t="30000" b="20000"/>
                  </a:stretch>
                </a:blipFill>
                <a:ln>
                  <a:noFill/>
                </a:ln>
              </c:spPr>
            </c:marker>
            <c:bubble3D val="0"/>
            <c:extLst>
              <c:ext xmlns:c16="http://schemas.microsoft.com/office/drawing/2014/chart" uri="{C3380CC4-5D6E-409C-BE32-E72D297353CC}">
                <c16:uniqueId val="{00000006-E32F-4337-84AD-E0C25AE11AFC}"/>
              </c:ext>
            </c:extLst>
          </c:dPt>
          <c:dPt>
            <c:idx val="7"/>
            <c:marker>
              <c:spPr>
                <a:blipFill dpi="0" rotWithShape="1">
                  <a:blip xmlns:r="http://schemas.openxmlformats.org/officeDocument/2006/relationships" r:embed="rId4"/>
                  <a:srcRect/>
                  <a:stretch>
                    <a:fillRect t="30000" b="20000"/>
                  </a:stretch>
                </a:blipFill>
                <a:ln>
                  <a:noFill/>
                </a:ln>
              </c:spPr>
            </c:marker>
            <c:bubble3D val="0"/>
            <c:extLst>
              <c:ext xmlns:c16="http://schemas.microsoft.com/office/drawing/2014/chart" uri="{C3380CC4-5D6E-409C-BE32-E72D297353CC}">
                <c16:uniqueId val="{00000007-E32F-4337-84AD-E0C25AE11AFC}"/>
              </c:ext>
            </c:extLst>
          </c:dPt>
          <c:dPt>
            <c:idx val="8"/>
            <c:marker>
              <c:spPr>
                <a:blipFill dpi="0" rotWithShape="1">
                  <a:blip xmlns:r="http://schemas.openxmlformats.org/officeDocument/2006/relationships" r:embed="rId4"/>
                  <a:srcRect/>
                  <a:stretch>
                    <a:fillRect t="30000" b="20000"/>
                  </a:stretch>
                </a:blipFill>
                <a:ln>
                  <a:noFill/>
                </a:ln>
              </c:spPr>
            </c:marker>
            <c:bubble3D val="0"/>
            <c:extLst>
              <c:ext xmlns:c16="http://schemas.microsoft.com/office/drawing/2014/chart" uri="{C3380CC4-5D6E-409C-BE32-E72D297353CC}">
                <c16:uniqueId val="{00000008-E32F-4337-84AD-E0C25AE11AFC}"/>
              </c:ext>
            </c:extLst>
          </c:dPt>
          <c:dPt>
            <c:idx val="9"/>
            <c:marker>
              <c:spPr>
                <a:blipFill>
                  <a:blip xmlns:r="http://schemas.openxmlformats.org/officeDocument/2006/relationships" r:embed="rId3"/>
                  <a:stretch>
                    <a:fillRect/>
                  </a:stretch>
                </a:blipFill>
                <a:ln>
                  <a:noFill/>
                </a:ln>
              </c:spPr>
            </c:marker>
            <c:bubble3D val="0"/>
            <c:extLst>
              <c:ext xmlns:c16="http://schemas.microsoft.com/office/drawing/2014/chart" uri="{C3380CC4-5D6E-409C-BE32-E72D297353CC}">
                <c16:uniqueId val="{00000009-E32F-4337-84AD-E0C25AE11AFC}"/>
              </c:ext>
            </c:extLst>
          </c:dPt>
          <c:dPt>
            <c:idx val="10"/>
            <c:marker>
              <c:spPr>
                <a:blipFill>
                  <a:blip xmlns:r="http://schemas.openxmlformats.org/officeDocument/2006/relationships" r:embed="rId3"/>
                  <a:stretch>
                    <a:fillRect/>
                  </a:stretch>
                </a:blipFill>
                <a:ln>
                  <a:noFill/>
                </a:ln>
              </c:spPr>
            </c:marker>
            <c:bubble3D val="0"/>
            <c:extLst>
              <c:ext xmlns:c16="http://schemas.microsoft.com/office/drawing/2014/chart" uri="{C3380CC4-5D6E-409C-BE32-E72D297353CC}">
                <c16:uniqueId val="{0000000A-E32F-4337-84AD-E0C25AE11AFC}"/>
              </c:ext>
            </c:extLst>
          </c:dPt>
          <c:dPt>
            <c:idx val="11"/>
            <c:marker>
              <c:spPr>
                <a:blipFill>
                  <a:blip xmlns:r="http://schemas.openxmlformats.org/officeDocument/2006/relationships" r:embed="rId2"/>
                  <a:stretch>
                    <a:fillRect/>
                  </a:stretch>
                </a:blipFill>
                <a:ln>
                  <a:noFill/>
                </a:ln>
              </c:spPr>
            </c:marker>
            <c:bubble3D val="0"/>
            <c:extLst>
              <c:ext xmlns:c16="http://schemas.microsoft.com/office/drawing/2014/chart" uri="{C3380CC4-5D6E-409C-BE32-E72D297353CC}">
                <c16:uniqueId val="{0000000B-E32F-4337-84AD-E0C25AE11AFC}"/>
              </c:ext>
            </c:extLst>
          </c:dPt>
          <c:dLbls>
            <c:dLbl>
              <c:idx val="0"/>
              <c:layout>
                <c:manualLayout>
                  <c:x val="-3.4620071278525032E-2"/>
                  <c:y val="-5.25277824738231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2F-4337-84AD-E0C25AE11AFC}"/>
                </c:ext>
              </c:extLst>
            </c:dLbl>
            <c:dLbl>
              <c:idx val="1"/>
              <c:layout>
                <c:manualLayout>
                  <c:x val="-3.5031870085476001E-2"/>
                  <c:y val="-5.6452886543167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2F-4337-84AD-E0C25AE11AFC}"/>
                </c:ext>
              </c:extLst>
            </c:dLbl>
            <c:dLbl>
              <c:idx val="2"/>
              <c:layout>
                <c:manualLayout>
                  <c:x val="-3.8692944532992476E-2"/>
                  <c:y val="-5.25277824738231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2F-4337-84AD-E0C25AE11AFC}"/>
                </c:ext>
              </c:extLst>
            </c:dLbl>
            <c:dLbl>
              <c:idx val="3"/>
              <c:layout>
                <c:manualLayout>
                  <c:x val="-3.8693051740862586E-2"/>
                  <c:y val="-6.81369888972152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2F-4337-84AD-E0C25AE11AFC}"/>
                </c:ext>
              </c:extLst>
            </c:dLbl>
            <c:dLbl>
              <c:idx val="4"/>
              <c:layout>
                <c:manualLayout>
                  <c:x val="-3.6862407309234235E-2"/>
                  <c:y val="-4.8602678404479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2F-4337-84AD-E0C25AE11AFC}"/>
                </c:ext>
              </c:extLst>
            </c:dLbl>
            <c:dLbl>
              <c:idx val="5"/>
              <c:layout>
                <c:manualLayout>
                  <c:x val="-3.4620071278525032E-2"/>
                  <c:y val="-4.8602678404479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32F-4337-84AD-E0C25AE11AFC}"/>
                </c:ext>
              </c:extLst>
            </c:dLbl>
            <c:dLbl>
              <c:idx val="6"/>
              <c:layout>
                <c:manualLayout>
                  <c:x val="-3.8692944532992476E-2"/>
                  <c:y val="-5.25277824738231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2F-4337-84AD-E0C25AE11AFC}"/>
                </c:ext>
              </c:extLst>
            </c:dLbl>
            <c:dLbl>
              <c:idx val="7"/>
              <c:layout>
                <c:manualLayout>
                  <c:x val="-3.5031870085476001E-2"/>
                  <c:y val="-5.25277824738231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2F-4337-84AD-E0C25AE11AFC}"/>
                </c:ext>
              </c:extLst>
            </c:dLbl>
            <c:dLbl>
              <c:idx val="8"/>
              <c:layout>
                <c:manualLayout>
                  <c:x val="-3.6862407309234235E-2"/>
                  <c:y val="-5.25277824738231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32F-4337-84AD-E0C25AE11AFC}"/>
                </c:ext>
              </c:extLst>
            </c:dLbl>
            <c:dLbl>
              <c:idx val="9"/>
              <c:layout>
                <c:manualLayout>
                  <c:x val="-3.6862407309234235E-2"/>
                  <c:y val="-4.8602678404479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2F-4337-84AD-E0C25AE11AFC}"/>
                </c:ext>
              </c:extLst>
            </c:dLbl>
            <c:dLbl>
              <c:idx val="10"/>
              <c:layout>
                <c:manualLayout>
                  <c:x val="-3.6862407309234235E-2"/>
                  <c:y val="-5.25277824738231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32F-4337-84AD-E0C25AE11AFC}"/>
                </c:ext>
              </c:extLst>
            </c:dLbl>
            <c:dLbl>
              <c:idx val="11"/>
              <c:layout>
                <c:manualLayout>
                  <c:x val="-3.278953405476679E-2"/>
                  <c:y val="-4.8602678404479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32F-4337-84AD-E0C25AE11AFC}"/>
                </c:ext>
              </c:extLst>
            </c:dLbl>
            <c:spPr>
              <a:noFill/>
              <a:ln>
                <a:noFill/>
              </a:ln>
              <a:effectLst/>
            </c:spPr>
            <c:txPr>
              <a:bodyPr/>
              <a:lstStyle/>
              <a:p>
                <a:pPr>
                  <a:defRPr sz="800"/>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'D_Ch4-2'!$A$111:$A$122</c:f>
              <c:strCache>
                <c:ptCount val="12"/>
                <c:pt idx="0">
                  <c:v>Lyon Part Dieu</c:v>
                </c:pt>
                <c:pt idx="1">
                  <c:v>Lille Flandres</c:v>
                </c:pt>
                <c:pt idx="2">
                  <c:v>Strasbourg</c:v>
                </c:pt>
                <c:pt idx="3">
                  <c:v>Marseille Saint-Charles</c:v>
                </c:pt>
                <c:pt idx="4">
                  <c:v>Bordeaux Saint-Jean</c:v>
                </c:pt>
                <c:pt idx="5">
                  <c:v>Nantes</c:v>
                </c:pt>
                <c:pt idx="6">
                  <c:v>Toulouse Matabiau</c:v>
                </c:pt>
                <c:pt idx="7">
                  <c:v>Rennes</c:v>
                </c:pt>
                <c:pt idx="8">
                  <c:v>Montpellier Saint-Roch</c:v>
                </c:pt>
                <c:pt idx="9">
                  <c:v>Nancy</c:v>
                </c:pt>
                <c:pt idx="10">
                  <c:v>Grenoble</c:v>
                </c:pt>
                <c:pt idx="11">
                  <c:v>Lille Europe</c:v>
                </c:pt>
              </c:strCache>
            </c:strRef>
          </c:xVal>
          <c:yVal>
            <c:numRef>
              <c:f>'D_Ch4-2'!$C$111:$C$122</c:f>
              <c:numCache>
                <c:formatCode>0.0%</c:formatCode>
                <c:ptCount val="12"/>
                <c:pt idx="0">
                  <c:v>-6.6160074200679528E-2</c:v>
                </c:pt>
                <c:pt idx="1">
                  <c:v>-1.9614824736236502E-2</c:v>
                </c:pt>
                <c:pt idx="2">
                  <c:v>1.5627096153971846E-2</c:v>
                </c:pt>
                <c:pt idx="3">
                  <c:v>-1.1740186952057072E-2</c:v>
                </c:pt>
                <c:pt idx="4">
                  <c:v>2.3253260286308308E-2</c:v>
                </c:pt>
                <c:pt idx="5">
                  <c:v>3.9371193788294595E-2</c:v>
                </c:pt>
                <c:pt idx="6">
                  <c:v>7.4792539097377677E-3</c:v>
                </c:pt>
                <c:pt idx="7">
                  <c:v>3.0079518217602255E-2</c:v>
                </c:pt>
                <c:pt idx="8">
                  <c:v>2.6705275178669042E-2</c:v>
                </c:pt>
                <c:pt idx="9">
                  <c:v>-2.8553785177421406E-2</c:v>
                </c:pt>
                <c:pt idx="10">
                  <c:v>-3.6295683169778908E-2</c:v>
                </c:pt>
                <c:pt idx="11">
                  <c:v>-4.2065103018277893E-2</c:v>
                </c:pt>
              </c:numCache>
            </c:numRef>
          </c:yVal>
          <c:smooth val="0"/>
          <c:extLst>
            <c:ext xmlns:c16="http://schemas.microsoft.com/office/drawing/2014/chart" uri="{C3380CC4-5D6E-409C-BE32-E72D297353CC}">
              <c16:uniqueId val="{0000000D-E32F-4337-84AD-E0C25AE11AFC}"/>
            </c:ext>
          </c:extLst>
        </c:ser>
        <c:dLbls>
          <c:showLegendKey val="0"/>
          <c:showVal val="0"/>
          <c:showCatName val="0"/>
          <c:showSerName val="0"/>
          <c:showPercent val="0"/>
          <c:showBubbleSize val="0"/>
        </c:dLbls>
        <c:axId val="346981504"/>
        <c:axId val="346971520"/>
      </c:scatterChart>
      <c:catAx>
        <c:axId val="346968448"/>
        <c:scaling>
          <c:orientation val="minMax"/>
        </c:scaling>
        <c:delete val="0"/>
        <c:axPos val="b"/>
        <c:numFmt formatCode="General" sourceLinked="1"/>
        <c:majorTickMark val="out"/>
        <c:minorTickMark val="none"/>
        <c:tickLblPos val="nextTo"/>
        <c:txPr>
          <a:bodyPr rot="-5400000" vert="horz"/>
          <a:lstStyle/>
          <a:p>
            <a:pPr>
              <a:defRPr sz="800"/>
            </a:pPr>
            <a:endParaRPr lang="fr-FR"/>
          </a:p>
        </c:txPr>
        <c:crossAx val="346969984"/>
        <c:crosses val="autoZero"/>
        <c:auto val="1"/>
        <c:lblAlgn val="ctr"/>
        <c:lblOffset val="100"/>
        <c:noMultiLvlLbl val="0"/>
      </c:catAx>
      <c:valAx>
        <c:axId val="346969984"/>
        <c:scaling>
          <c:orientation val="minMax"/>
        </c:scaling>
        <c:delete val="0"/>
        <c:axPos val="l"/>
        <c:numFmt formatCode="#,##0" sourceLinked="0"/>
        <c:majorTickMark val="out"/>
        <c:minorTickMark val="none"/>
        <c:tickLblPos val="nextTo"/>
        <c:txPr>
          <a:bodyPr/>
          <a:lstStyle/>
          <a:p>
            <a:pPr>
              <a:defRPr sz="800"/>
            </a:pPr>
            <a:endParaRPr lang="fr-FR"/>
          </a:p>
        </c:txPr>
        <c:crossAx val="346968448"/>
        <c:crosses val="autoZero"/>
        <c:crossBetween val="between"/>
      </c:valAx>
      <c:valAx>
        <c:axId val="346971520"/>
        <c:scaling>
          <c:orientation val="minMax"/>
        </c:scaling>
        <c:delete val="0"/>
        <c:axPos val="r"/>
        <c:numFmt formatCode="0%" sourceLinked="0"/>
        <c:majorTickMark val="out"/>
        <c:minorTickMark val="none"/>
        <c:tickLblPos val="nextTo"/>
        <c:txPr>
          <a:bodyPr/>
          <a:lstStyle/>
          <a:p>
            <a:pPr>
              <a:defRPr sz="800"/>
            </a:pPr>
            <a:endParaRPr lang="fr-FR"/>
          </a:p>
        </c:txPr>
        <c:crossAx val="346981504"/>
        <c:crosses val="max"/>
        <c:crossBetween val="midCat"/>
      </c:valAx>
      <c:valAx>
        <c:axId val="346981504"/>
        <c:scaling>
          <c:orientation val="minMax"/>
        </c:scaling>
        <c:delete val="1"/>
        <c:axPos val="t"/>
        <c:majorTickMark val="out"/>
        <c:minorTickMark val="none"/>
        <c:tickLblPos val="nextTo"/>
        <c:crossAx val="346971520"/>
        <c:crosses val="max"/>
        <c:crossBetween val="midCat"/>
      </c:valAx>
    </c:plotArea>
    <c:legend>
      <c:legendPos val="r"/>
      <c:layout>
        <c:manualLayout>
          <c:xMode val="edge"/>
          <c:yMode val="edge"/>
          <c:x val="0.87268926045598882"/>
          <c:y val="0.355861548074134"/>
          <c:w val="0.12433046892126072"/>
          <c:h val="0.12706137484270985"/>
        </c:manualLayout>
      </c:layout>
      <c:overlay val="0"/>
      <c:txPr>
        <a:bodyPr/>
        <a:lstStyle/>
        <a:p>
          <a:pPr>
            <a:defRPr sz="800"/>
          </a:pPr>
          <a:endParaRPr lang="fr-FR"/>
        </a:p>
      </c:txPr>
    </c:legend>
    <c:plotVisOnly val="1"/>
    <c:dispBlanksAs val="gap"/>
    <c:showDLblsOverMax val="0"/>
  </c:chart>
  <c:spPr>
    <a:ln>
      <a:noFill/>
    </a:ln>
  </c:spPr>
  <c:printSettings>
    <c:headerFooter/>
    <c:pageMargins b="0.75" l="0.7" r="0.7" t="0.75" header="0.3" footer="0.3"/>
    <c:pageSetup/>
  </c:printSettings>
  <c:userShapes r:id="rId5"/>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85772834835583E-2"/>
          <c:y val="5.1400554097404488E-2"/>
          <c:w val="0.71103737213745533"/>
          <c:h val="0.72411891221930591"/>
        </c:manualLayout>
      </c:layout>
      <c:barChart>
        <c:barDir val="col"/>
        <c:grouping val="percentStacked"/>
        <c:varyColors val="0"/>
        <c:ser>
          <c:idx val="0"/>
          <c:order val="0"/>
          <c:tx>
            <c:strRef>
              <c:f>'D_Ch6-1'!$H$3</c:f>
              <c:strCache>
                <c:ptCount val="1"/>
                <c:pt idx="0">
                  <c:v>De l'Académie</c:v>
                </c:pt>
              </c:strCache>
            </c:strRef>
          </c:tx>
          <c:spPr>
            <a:solidFill>
              <a:schemeClr val="accent4">
                <a:lumMod val="60000"/>
                <a:lumOff val="40000"/>
              </a:schemeClr>
            </a:solidFill>
          </c:spPr>
          <c:invertIfNegative val="0"/>
          <c:dLbls>
            <c:numFmt formatCode="0%" sourceLinked="0"/>
            <c:spPr>
              <a:noFill/>
              <a:ln>
                <a:noFill/>
              </a:ln>
              <a:effectLst/>
            </c:spPr>
            <c:txPr>
              <a:bodyPr/>
              <a:lstStyle/>
              <a:p>
                <a:pPr>
                  <a:defRPr sz="800" b="1" i="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'D_Ch6-1'!$A$4:$A$15</c:f>
              <c:strCache>
                <c:ptCount val="12"/>
                <c:pt idx="0">
                  <c:v>Aix-Marseille</c:v>
                </c:pt>
                <c:pt idx="1">
                  <c:v>Bordeaux</c:v>
                </c:pt>
                <c:pt idx="2">
                  <c:v>Grenoble</c:v>
                </c:pt>
                <c:pt idx="3">
                  <c:v>Lille</c:v>
                </c:pt>
                <c:pt idx="4">
                  <c:v>Lyon</c:v>
                </c:pt>
                <c:pt idx="5">
                  <c:v>Montpellier</c:v>
                </c:pt>
                <c:pt idx="6">
                  <c:v>Nantes</c:v>
                </c:pt>
                <c:pt idx="7">
                  <c:v>Nice</c:v>
                </c:pt>
                <c:pt idx="8">
                  <c:v>Rennes</c:v>
                </c:pt>
                <c:pt idx="9">
                  <c:v>Rouen</c:v>
                </c:pt>
                <c:pt idx="10">
                  <c:v>Strasbourg</c:v>
                </c:pt>
                <c:pt idx="11">
                  <c:v>Toulouse</c:v>
                </c:pt>
              </c:strCache>
            </c:strRef>
          </c:cat>
          <c:val>
            <c:numRef>
              <c:f>'D_Ch6-1'!$H$4:$H$15</c:f>
              <c:numCache>
                <c:formatCode>0.0%</c:formatCode>
                <c:ptCount val="12"/>
                <c:pt idx="0">
                  <c:v>0.39494978117817447</c:v>
                </c:pt>
                <c:pt idx="1">
                  <c:v>0.40174159334699289</c:v>
                </c:pt>
                <c:pt idx="2">
                  <c:v>0.38909025009061254</c:v>
                </c:pt>
                <c:pt idx="3">
                  <c:v>0.51259390190013254</c:v>
                </c:pt>
                <c:pt idx="4">
                  <c:v>0.2745884012593115</c:v>
                </c:pt>
                <c:pt idx="5">
                  <c:v>0.35411878351820392</c:v>
                </c:pt>
                <c:pt idx="6">
                  <c:v>0.42940246813948013</c:v>
                </c:pt>
                <c:pt idx="7">
                  <c:v>0.43845993467231914</c:v>
                </c:pt>
                <c:pt idx="8">
                  <c:v>0.44008053368591865</c:v>
                </c:pt>
                <c:pt idx="9">
                  <c:v>0.48148675590999718</c:v>
                </c:pt>
                <c:pt idx="10">
                  <c:v>0.35992544949568778</c:v>
                </c:pt>
                <c:pt idx="11">
                  <c:v>0.35919366299113137</c:v>
                </c:pt>
              </c:numCache>
            </c:numRef>
          </c:val>
          <c:extLst>
            <c:ext xmlns:c16="http://schemas.microsoft.com/office/drawing/2014/chart" uri="{C3380CC4-5D6E-409C-BE32-E72D297353CC}">
              <c16:uniqueId val="{00000000-C8B6-4BA6-B063-879574A3FDEA}"/>
            </c:ext>
          </c:extLst>
        </c:ser>
        <c:ser>
          <c:idx val="4"/>
          <c:order val="1"/>
          <c:tx>
            <c:strRef>
              <c:f>'D_Ch6-1'!$L$3</c:f>
              <c:strCache>
                <c:ptCount val="1"/>
                <c:pt idx="0">
                  <c:v>Autre Académie</c:v>
                </c:pt>
              </c:strCache>
            </c:strRef>
          </c:tx>
          <c:spPr>
            <a:solidFill>
              <a:srgbClr val="CCCCFF"/>
            </a:solidFill>
          </c:spPr>
          <c:invertIfNegative val="0"/>
          <c:dLbls>
            <c:spPr>
              <a:noFill/>
              <a:ln>
                <a:noFill/>
              </a:ln>
              <a:effectLst/>
            </c:spPr>
            <c:txPr>
              <a:bodyPr/>
              <a:lstStyle/>
              <a:p>
                <a:pPr>
                  <a:defRPr sz="800" b="1" i="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'D_Ch6-1'!$A$4:$A$15</c:f>
              <c:strCache>
                <c:ptCount val="12"/>
                <c:pt idx="0">
                  <c:v>Aix-Marseille</c:v>
                </c:pt>
                <c:pt idx="1">
                  <c:v>Bordeaux</c:v>
                </c:pt>
                <c:pt idx="2">
                  <c:v>Grenoble</c:v>
                </c:pt>
                <c:pt idx="3">
                  <c:v>Lille</c:v>
                </c:pt>
                <c:pt idx="4">
                  <c:v>Lyon</c:v>
                </c:pt>
                <c:pt idx="5">
                  <c:v>Montpellier</c:v>
                </c:pt>
                <c:pt idx="6">
                  <c:v>Nantes</c:v>
                </c:pt>
                <c:pt idx="7">
                  <c:v>Nice</c:v>
                </c:pt>
                <c:pt idx="8">
                  <c:v>Rennes</c:v>
                </c:pt>
                <c:pt idx="9">
                  <c:v>Rouen</c:v>
                </c:pt>
                <c:pt idx="10">
                  <c:v>Strasbourg</c:v>
                </c:pt>
                <c:pt idx="11">
                  <c:v>Toulouse</c:v>
                </c:pt>
              </c:strCache>
            </c:strRef>
          </c:cat>
          <c:val>
            <c:numRef>
              <c:f>'D_Ch6-1'!$L$4:$L$15</c:f>
              <c:numCache>
                <c:formatCode>0%</c:formatCode>
                <c:ptCount val="12"/>
                <c:pt idx="0">
                  <c:v>0.39142344384622652</c:v>
                </c:pt>
                <c:pt idx="1">
                  <c:v>0.36977220682174278</c:v>
                </c:pt>
                <c:pt idx="2">
                  <c:v>0.41790503805726714</c:v>
                </c:pt>
                <c:pt idx="3">
                  <c:v>0.2716701165197572</c:v>
                </c:pt>
                <c:pt idx="4">
                  <c:v>0.3985411254666506</c:v>
                </c:pt>
                <c:pt idx="5">
                  <c:v>0.42247093701075916</c:v>
                </c:pt>
                <c:pt idx="6">
                  <c:v>0.35186119237365077</c:v>
                </c:pt>
                <c:pt idx="7">
                  <c:v>0.2812565153937035</c:v>
                </c:pt>
                <c:pt idx="8">
                  <c:v>0.32339683875232889</c:v>
                </c:pt>
                <c:pt idx="9">
                  <c:v>0.21923953289661066</c:v>
                </c:pt>
                <c:pt idx="10">
                  <c:v>0.35934073965794472</c:v>
                </c:pt>
                <c:pt idx="11">
                  <c:v>0.38777336245690674</c:v>
                </c:pt>
              </c:numCache>
            </c:numRef>
          </c:val>
          <c:extLst>
            <c:ext xmlns:c16="http://schemas.microsoft.com/office/drawing/2014/chart" uri="{C3380CC4-5D6E-409C-BE32-E72D297353CC}">
              <c16:uniqueId val="{00000001-C8B6-4BA6-B063-879574A3FDEA}"/>
            </c:ext>
          </c:extLst>
        </c:ser>
        <c:ser>
          <c:idx val="1"/>
          <c:order val="2"/>
          <c:tx>
            <c:strRef>
              <c:f>'D_Ch6-1'!$I$3</c:f>
              <c:strCache>
                <c:ptCount val="1"/>
                <c:pt idx="0">
                  <c:v>Etudiants issus de système éducatif étranger</c:v>
                </c:pt>
              </c:strCache>
            </c:strRef>
          </c:tx>
          <c:spPr>
            <a:solidFill>
              <a:schemeClr val="accent5">
                <a:lumMod val="75000"/>
              </a:schemeClr>
            </a:solidFill>
          </c:spPr>
          <c:invertIfNegative val="0"/>
          <c:dLbls>
            <c:numFmt formatCode="0%" sourceLinked="0"/>
            <c:spPr>
              <a:noFill/>
              <a:ln>
                <a:noFill/>
              </a:ln>
              <a:effectLst/>
            </c:spPr>
            <c:txPr>
              <a:bodyPr/>
              <a:lstStyle/>
              <a:p>
                <a:pPr>
                  <a:defRPr sz="800" b="1" i="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'D_Ch6-1'!$A$4:$A$15</c:f>
              <c:strCache>
                <c:ptCount val="12"/>
                <c:pt idx="0">
                  <c:v>Aix-Marseille</c:v>
                </c:pt>
                <c:pt idx="1">
                  <c:v>Bordeaux</c:v>
                </c:pt>
                <c:pt idx="2">
                  <c:v>Grenoble</c:v>
                </c:pt>
                <c:pt idx="3">
                  <c:v>Lille</c:v>
                </c:pt>
                <c:pt idx="4">
                  <c:v>Lyon</c:v>
                </c:pt>
                <c:pt idx="5">
                  <c:v>Montpellier</c:v>
                </c:pt>
                <c:pt idx="6">
                  <c:v>Nantes</c:v>
                </c:pt>
                <c:pt idx="7">
                  <c:v>Nice</c:v>
                </c:pt>
                <c:pt idx="8">
                  <c:v>Rennes</c:v>
                </c:pt>
                <c:pt idx="9">
                  <c:v>Rouen</c:v>
                </c:pt>
                <c:pt idx="10">
                  <c:v>Strasbourg</c:v>
                </c:pt>
                <c:pt idx="11">
                  <c:v>Toulouse</c:v>
                </c:pt>
              </c:strCache>
            </c:strRef>
          </c:cat>
          <c:val>
            <c:numRef>
              <c:f>'D_Ch6-1'!$I$4:$I$15</c:f>
              <c:numCache>
                <c:formatCode>0.0%</c:formatCode>
                <c:ptCount val="12"/>
                <c:pt idx="0">
                  <c:v>0.17225528163470924</c:v>
                </c:pt>
                <c:pt idx="1">
                  <c:v>0.15330842473183079</c:v>
                </c:pt>
                <c:pt idx="2">
                  <c:v>0.18176875679594057</c:v>
                </c:pt>
                <c:pt idx="3">
                  <c:v>0.15680163732353419</c:v>
                </c:pt>
                <c:pt idx="4">
                  <c:v>0.19281917181344299</c:v>
                </c:pt>
                <c:pt idx="5">
                  <c:v>0.19216548416108725</c:v>
                </c:pt>
                <c:pt idx="6">
                  <c:v>0.1466424560341639</c:v>
                </c:pt>
                <c:pt idx="7">
                  <c:v>0.26388213218430745</c:v>
                </c:pt>
                <c:pt idx="8">
                  <c:v>0.14619267984854858</c:v>
                </c:pt>
                <c:pt idx="9">
                  <c:v>0.17929364853318144</c:v>
                </c:pt>
                <c:pt idx="10">
                  <c:v>0.20172489402134192</c:v>
                </c:pt>
                <c:pt idx="11">
                  <c:v>0.15389878681017921</c:v>
                </c:pt>
              </c:numCache>
            </c:numRef>
          </c:val>
          <c:extLst>
            <c:ext xmlns:c16="http://schemas.microsoft.com/office/drawing/2014/chart" uri="{C3380CC4-5D6E-409C-BE32-E72D297353CC}">
              <c16:uniqueId val="{00000002-C8B6-4BA6-B063-879574A3FDEA}"/>
            </c:ext>
          </c:extLst>
        </c:ser>
        <c:ser>
          <c:idx val="2"/>
          <c:order val="3"/>
          <c:tx>
            <c:strRef>
              <c:f>'D_Ch6-1'!$J$3</c:f>
              <c:strCache>
                <c:ptCount val="1"/>
                <c:pt idx="0">
                  <c:v>Non bachelier</c:v>
                </c:pt>
              </c:strCache>
            </c:strRef>
          </c:tx>
          <c:spPr>
            <a:solidFill>
              <a:srgbClr val="C58199"/>
            </a:solidFill>
          </c:spPr>
          <c:invertIfNegative val="0"/>
          <c:cat>
            <c:strRef>
              <c:f>'D_Ch6-1'!$A$4:$A$15</c:f>
              <c:strCache>
                <c:ptCount val="12"/>
                <c:pt idx="0">
                  <c:v>Aix-Marseille</c:v>
                </c:pt>
                <c:pt idx="1">
                  <c:v>Bordeaux</c:v>
                </c:pt>
                <c:pt idx="2">
                  <c:v>Grenoble</c:v>
                </c:pt>
                <c:pt idx="3">
                  <c:v>Lille</c:v>
                </c:pt>
                <c:pt idx="4">
                  <c:v>Lyon</c:v>
                </c:pt>
                <c:pt idx="5">
                  <c:v>Montpellier</c:v>
                </c:pt>
                <c:pt idx="6">
                  <c:v>Nantes</c:v>
                </c:pt>
                <c:pt idx="7">
                  <c:v>Nice</c:v>
                </c:pt>
                <c:pt idx="8">
                  <c:v>Rennes</c:v>
                </c:pt>
                <c:pt idx="9">
                  <c:v>Rouen</c:v>
                </c:pt>
                <c:pt idx="10">
                  <c:v>Strasbourg</c:v>
                </c:pt>
                <c:pt idx="11">
                  <c:v>Toulouse</c:v>
                </c:pt>
              </c:strCache>
            </c:strRef>
          </c:cat>
          <c:val>
            <c:numRef>
              <c:f>'D_Ch6-1'!$J$4:$J$15</c:f>
              <c:numCache>
                <c:formatCode>0.0%</c:formatCode>
                <c:ptCount val="12"/>
                <c:pt idx="0">
                  <c:v>1.4735052422782658E-2</c:v>
                </c:pt>
                <c:pt idx="1">
                  <c:v>1.0967819693865252E-2</c:v>
                </c:pt>
                <c:pt idx="2">
                  <c:v>1.1163465023559261E-2</c:v>
                </c:pt>
                <c:pt idx="3">
                  <c:v>1.3652115263855617E-2</c:v>
                </c:pt>
                <c:pt idx="4">
                  <c:v>1.4950023225007311E-2</c:v>
                </c:pt>
                <c:pt idx="5">
                  <c:v>1.8153958895439859E-2</c:v>
                </c:pt>
                <c:pt idx="6">
                  <c:v>2.3235482026967954E-2</c:v>
                </c:pt>
                <c:pt idx="7">
                  <c:v>1.6192925151157132E-2</c:v>
                </c:pt>
                <c:pt idx="8">
                  <c:v>7.6026203497806359E-3</c:v>
                </c:pt>
                <c:pt idx="9">
                  <c:v>8.8293933352321281E-3</c:v>
                </c:pt>
                <c:pt idx="10">
                  <c:v>1.5312088875895337E-2</c:v>
                </c:pt>
                <c:pt idx="11">
                  <c:v>1.2526645438037843E-2</c:v>
                </c:pt>
              </c:numCache>
            </c:numRef>
          </c:val>
          <c:extLst>
            <c:ext xmlns:c16="http://schemas.microsoft.com/office/drawing/2014/chart" uri="{C3380CC4-5D6E-409C-BE32-E72D297353CC}">
              <c16:uniqueId val="{00000003-C8B6-4BA6-B063-879574A3FDEA}"/>
            </c:ext>
          </c:extLst>
        </c:ser>
        <c:ser>
          <c:idx val="3"/>
          <c:order val="4"/>
          <c:tx>
            <c:strRef>
              <c:f>'D_Ch6-1'!$K$3</c:f>
              <c:strCache>
                <c:ptCount val="1"/>
                <c:pt idx="0">
                  <c:v>Non renseigné</c:v>
                </c:pt>
              </c:strCache>
            </c:strRef>
          </c:tx>
          <c:spPr>
            <a:solidFill>
              <a:schemeClr val="tx1">
                <a:lumMod val="50000"/>
                <a:lumOff val="50000"/>
              </a:schemeClr>
            </a:solidFill>
          </c:spPr>
          <c:invertIfNegative val="0"/>
          <c:cat>
            <c:strRef>
              <c:f>'D_Ch6-1'!$A$4:$A$15</c:f>
              <c:strCache>
                <c:ptCount val="12"/>
                <c:pt idx="0">
                  <c:v>Aix-Marseille</c:v>
                </c:pt>
                <c:pt idx="1">
                  <c:v>Bordeaux</c:v>
                </c:pt>
                <c:pt idx="2">
                  <c:v>Grenoble</c:v>
                </c:pt>
                <c:pt idx="3">
                  <c:v>Lille</c:v>
                </c:pt>
                <c:pt idx="4">
                  <c:v>Lyon</c:v>
                </c:pt>
                <c:pt idx="5">
                  <c:v>Montpellier</c:v>
                </c:pt>
                <c:pt idx="6">
                  <c:v>Nantes</c:v>
                </c:pt>
                <c:pt idx="7">
                  <c:v>Nice</c:v>
                </c:pt>
                <c:pt idx="8">
                  <c:v>Rennes</c:v>
                </c:pt>
                <c:pt idx="9">
                  <c:v>Rouen</c:v>
                </c:pt>
                <c:pt idx="10">
                  <c:v>Strasbourg</c:v>
                </c:pt>
                <c:pt idx="11">
                  <c:v>Toulouse</c:v>
                </c:pt>
              </c:strCache>
            </c:strRef>
          </c:cat>
          <c:val>
            <c:numRef>
              <c:f>'D_Ch6-1'!$K$4:$K$15</c:f>
              <c:numCache>
                <c:formatCode>0.0%</c:formatCode>
                <c:ptCount val="12"/>
                <c:pt idx="0">
                  <c:v>2.6636440918107112E-2</c:v>
                </c:pt>
                <c:pt idx="1">
                  <c:v>6.4209955405568273E-2</c:v>
                </c:pt>
                <c:pt idx="2">
                  <c:v>7.249003262051468E-5</c:v>
                </c:pt>
                <c:pt idx="3">
                  <c:v>4.5282228992720421E-2</c:v>
                </c:pt>
                <c:pt idx="4">
                  <c:v>0.1191012782355876</c:v>
                </c:pt>
                <c:pt idx="5">
                  <c:v>1.3090836414509843E-2</c:v>
                </c:pt>
                <c:pt idx="6">
                  <c:v>4.8858401425737247E-2</c:v>
                </c:pt>
                <c:pt idx="7">
                  <c:v>2.084925985127528E-4</c:v>
                </c:pt>
                <c:pt idx="8">
                  <c:v>8.2727327363423281E-2</c:v>
                </c:pt>
                <c:pt idx="9">
                  <c:v>0.11115066932497863</c:v>
                </c:pt>
                <c:pt idx="10">
                  <c:v>6.3696827949130244E-2</c:v>
                </c:pt>
                <c:pt idx="11">
                  <c:v>8.6607542303744831E-2</c:v>
                </c:pt>
              </c:numCache>
            </c:numRef>
          </c:val>
          <c:extLst>
            <c:ext xmlns:c16="http://schemas.microsoft.com/office/drawing/2014/chart" uri="{C3380CC4-5D6E-409C-BE32-E72D297353CC}">
              <c16:uniqueId val="{00000004-C8B6-4BA6-B063-879574A3FDEA}"/>
            </c:ext>
          </c:extLst>
        </c:ser>
        <c:dLbls>
          <c:showLegendKey val="0"/>
          <c:showVal val="0"/>
          <c:showCatName val="0"/>
          <c:showSerName val="0"/>
          <c:showPercent val="0"/>
          <c:showBubbleSize val="0"/>
        </c:dLbls>
        <c:gapWidth val="150"/>
        <c:overlap val="100"/>
        <c:axId val="345149440"/>
        <c:axId val="345150976"/>
      </c:barChart>
      <c:catAx>
        <c:axId val="345149440"/>
        <c:scaling>
          <c:orientation val="minMax"/>
        </c:scaling>
        <c:delete val="0"/>
        <c:axPos val="b"/>
        <c:numFmt formatCode="General" sourceLinked="0"/>
        <c:majorTickMark val="out"/>
        <c:minorTickMark val="none"/>
        <c:tickLblPos val="nextTo"/>
        <c:txPr>
          <a:bodyPr/>
          <a:lstStyle/>
          <a:p>
            <a:pPr>
              <a:defRPr sz="800"/>
            </a:pPr>
            <a:endParaRPr lang="fr-FR"/>
          </a:p>
        </c:txPr>
        <c:crossAx val="345150976"/>
        <c:crosses val="autoZero"/>
        <c:auto val="1"/>
        <c:lblAlgn val="ctr"/>
        <c:lblOffset val="100"/>
        <c:noMultiLvlLbl val="0"/>
      </c:catAx>
      <c:valAx>
        <c:axId val="345150976"/>
        <c:scaling>
          <c:orientation val="minMax"/>
        </c:scaling>
        <c:delete val="0"/>
        <c:axPos val="l"/>
        <c:majorGridlines/>
        <c:numFmt formatCode="0%" sourceLinked="1"/>
        <c:majorTickMark val="out"/>
        <c:minorTickMark val="none"/>
        <c:tickLblPos val="nextTo"/>
        <c:crossAx val="345149440"/>
        <c:crosses val="autoZero"/>
        <c:crossBetween val="between"/>
      </c:valAx>
    </c:plotArea>
    <c:legend>
      <c:legendPos val="r"/>
      <c:layout>
        <c:manualLayout>
          <c:xMode val="edge"/>
          <c:yMode val="edge"/>
          <c:x val="0.79041185698386829"/>
          <c:y val="8.1784047827354905E-2"/>
          <c:w val="0.20958811244579351"/>
          <c:h val="0.63588233261936011"/>
        </c:manualLayout>
      </c:layout>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20257234726688"/>
          <c:y val="0.10232648002333042"/>
          <c:w val="0.62505540505186052"/>
          <c:h val="0.78169364246135897"/>
        </c:manualLayout>
      </c:layout>
      <c:barChart>
        <c:barDir val="col"/>
        <c:grouping val="stacked"/>
        <c:varyColors val="0"/>
        <c:ser>
          <c:idx val="0"/>
          <c:order val="0"/>
          <c:tx>
            <c:strRef>
              <c:f>'Emploi-old'!$K$73</c:f>
              <c:strCache>
                <c:ptCount val="1"/>
                <c:pt idx="0">
                  <c:v>Privé</c:v>
                </c:pt>
              </c:strCache>
            </c:strRef>
          </c:tx>
          <c:spPr>
            <a:solidFill>
              <a:schemeClr val="accent4">
                <a:lumMod val="60000"/>
                <a:lumOff val="40000"/>
              </a:schemeClr>
            </a:solidFill>
          </c:spPr>
          <c:invertIfNegative val="0"/>
          <c:cat>
            <c:strRef>
              <c:f>'Emploi-old'!$J$74:$J$75</c:f>
              <c:strCache>
                <c:ptCount val="2"/>
                <c:pt idx="0">
                  <c:v>Bordeaux Métropole</c:v>
                </c:pt>
                <c:pt idx="1">
                  <c:v>Gironde</c:v>
                </c:pt>
              </c:strCache>
            </c:strRef>
          </c:cat>
          <c:val>
            <c:numRef>
              <c:f>'Emploi-old'!$K$74:$K$75</c:f>
              <c:numCache>
                <c:formatCode>#,##0</c:formatCode>
                <c:ptCount val="2"/>
                <c:pt idx="0">
                  <c:v>50746</c:v>
                </c:pt>
                <c:pt idx="1">
                  <c:v>97759</c:v>
                </c:pt>
              </c:numCache>
            </c:numRef>
          </c:val>
          <c:extLst>
            <c:ext xmlns:c16="http://schemas.microsoft.com/office/drawing/2014/chart" uri="{C3380CC4-5D6E-409C-BE32-E72D297353CC}">
              <c16:uniqueId val="{00000000-BD49-47AB-BB98-FF02BD7BEC9E}"/>
            </c:ext>
          </c:extLst>
        </c:ser>
        <c:ser>
          <c:idx val="1"/>
          <c:order val="1"/>
          <c:tx>
            <c:strRef>
              <c:f>'Emploi-old'!$L$73</c:f>
              <c:strCache>
                <c:ptCount val="1"/>
                <c:pt idx="0">
                  <c:v>Public</c:v>
                </c:pt>
              </c:strCache>
            </c:strRef>
          </c:tx>
          <c:spPr>
            <a:solidFill>
              <a:srgbClr val="FFC000"/>
            </a:solidFill>
          </c:spPr>
          <c:invertIfNegative val="0"/>
          <c:cat>
            <c:strRef>
              <c:f>'Emploi-old'!$J$74:$J$75</c:f>
              <c:strCache>
                <c:ptCount val="2"/>
                <c:pt idx="0">
                  <c:v>Bordeaux Métropole</c:v>
                </c:pt>
                <c:pt idx="1">
                  <c:v>Gironde</c:v>
                </c:pt>
              </c:strCache>
            </c:strRef>
          </c:cat>
          <c:val>
            <c:numRef>
              <c:f>'Emploi-old'!$L$74:$L$75</c:f>
              <c:numCache>
                <c:formatCode>#,##0</c:formatCode>
                <c:ptCount val="2"/>
                <c:pt idx="0">
                  <c:v>1367</c:v>
                </c:pt>
                <c:pt idx="1">
                  <c:v>3513</c:v>
                </c:pt>
              </c:numCache>
            </c:numRef>
          </c:val>
          <c:extLst>
            <c:ext xmlns:c16="http://schemas.microsoft.com/office/drawing/2014/chart" uri="{C3380CC4-5D6E-409C-BE32-E72D297353CC}">
              <c16:uniqueId val="{00000001-BD49-47AB-BB98-FF02BD7BEC9E}"/>
            </c:ext>
          </c:extLst>
        </c:ser>
        <c:ser>
          <c:idx val="2"/>
          <c:order val="2"/>
          <c:tx>
            <c:strRef>
              <c:f>'Emploi-old'!$M$73</c:f>
              <c:strCache>
                <c:ptCount val="1"/>
                <c:pt idx="0">
                  <c:v>Privé</c:v>
                </c:pt>
              </c:strCache>
            </c:strRef>
          </c:tx>
          <c:spPr>
            <a:solidFill>
              <a:srgbClr val="CCCCFF"/>
            </a:solidFill>
          </c:spPr>
          <c:invertIfNegative val="0"/>
          <c:cat>
            <c:strRef>
              <c:f>'Emploi-old'!$J$74:$J$75</c:f>
              <c:strCache>
                <c:ptCount val="2"/>
                <c:pt idx="0">
                  <c:v>Bordeaux Métropole</c:v>
                </c:pt>
                <c:pt idx="1">
                  <c:v>Gironde</c:v>
                </c:pt>
              </c:strCache>
            </c:strRef>
          </c:cat>
          <c:val>
            <c:numRef>
              <c:f>'Emploi-old'!$M$74:$M$75</c:f>
              <c:numCache>
                <c:formatCode>#,##0</c:formatCode>
                <c:ptCount val="2"/>
                <c:pt idx="0">
                  <c:v>33392</c:v>
                </c:pt>
                <c:pt idx="1">
                  <c:v>67558</c:v>
                </c:pt>
              </c:numCache>
            </c:numRef>
          </c:val>
          <c:extLst>
            <c:ext xmlns:c16="http://schemas.microsoft.com/office/drawing/2014/chart" uri="{C3380CC4-5D6E-409C-BE32-E72D297353CC}">
              <c16:uniqueId val="{00000002-BD49-47AB-BB98-FF02BD7BEC9E}"/>
            </c:ext>
          </c:extLst>
        </c:ser>
        <c:ser>
          <c:idx val="3"/>
          <c:order val="3"/>
          <c:tx>
            <c:strRef>
              <c:f>'Emploi-old'!$N$73</c:f>
              <c:strCache>
                <c:ptCount val="1"/>
                <c:pt idx="0">
                  <c:v>public</c:v>
                </c:pt>
              </c:strCache>
            </c:strRef>
          </c:tx>
          <c:spPr>
            <a:solidFill>
              <a:schemeClr val="accent6">
                <a:lumMod val="75000"/>
              </a:schemeClr>
            </a:solidFill>
          </c:spPr>
          <c:invertIfNegative val="0"/>
          <c:cat>
            <c:strRef>
              <c:f>'Emploi-old'!$J$74:$J$75</c:f>
              <c:strCache>
                <c:ptCount val="2"/>
                <c:pt idx="0">
                  <c:v>Bordeaux Métropole</c:v>
                </c:pt>
                <c:pt idx="1">
                  <c:v>Gironde</c:v>
                </c:pt>
              </c:strCache>
            </c:strRef>
          </c:cat>
          <c:val>
            <c:numRef>
              <c:f>'Emploi-old'!$N$74:$N$75</c:f>
              <c:numCache>
                <c:formatCode>#,##0</c:formatCode>
                <c:ptCount val="2"/>
                <c:pt idx="0">
                  <c:v>36</c:v>
                </c:pt>
                <c:pt idx="1">
                  <c:v>57</c:v>
                </c:pt>
              </c:numCache>
            </c:numRef>
          </c:val>
          <c:extLst>
            <c:ext xmlns:c16="http://schemas.microsoft.com/office/drawing/2014/chart" uri="{C3380CC4-5D6E-409C-BE32-E72D297353CC}">
              <c16:uniqueId val="{00000003-BD49-47AB-BB98-FF02BD7BEC9E}"/>
            </c:ext>
          </c:extLst>
        </c:ser>
        <c:dLbls>
          <c:showLegendKey val="0"/>
          <c:showVal val="0"/>
          <c:showCatName val="0"/>
          <c:showSerName val="0"/>
          <c:showPercent val="0"/>
          <c:showBubbleSize val="0"/>
        </c:dLbls>
        <c:gapWidth val="150"/>
        <c:overlap val="100"/>
        <c:axId val="311223424"/>
        <c:axId val="311224960"/>
      </c:barChart>
      <c:catAx>
        <c:axId val="311223424"/>
        <c:scaling>
          <c:orientation val="minMax"/>
        </c:scaling>
        <c:delete val="0"/>
        <c:axPos val="b"/>
        <c:numFmt formatCode="General" sourceLinked="0"/>
        <c:majorTickMark val="out"/>
        <c:minorTickMark val="none"/>
        <c:tickLblPos val="nextTo"/>
        <c:crossAx val="311224960"/>
        <c:crosses val="autoZero"/>
        <c:auto val="1"/>
        <c:lblAlgn val="ctr"/>
        <c:lblOffset val="100"/>
        <c:noMultiLvlLbl val="0"/>
      </c:catAx>
      <c:valAx>
        <c:axId val="311224960"/>
        <c:scaling>
          <c:orientation val="minMax"/>
        </c:scaling>
        <c:delete val="0"/>
        <c:axPos val="l"/>
        <c:majorGridlines/>
        <c:numFmt formatCode="#,##0" sourceLinked="1"/>
        <c:majorTickMark val="out"/>
        <c:minorTickMark val="none"/>
        <c:tickLblPos val="high"/>
        <c:crossAx val="311223424"/>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30153841536838E-2"/>
          <c:y val="2.4246205610465268E-2"/>
          <c:w val="0.91240748312844888"/>
          <c:h val="0.76735773537554597"/>
        </c:manualLayout>
      </c:layout>
      <c:barChart>
        <c:barDir val="col"/>
        <c:grouping val="percentStacked"/>
        <c:varyColors val="0"/>
        <c:ser>
          <c:idx val="0"/>
          <c:order val="0"/>
          <c:tx>
            <c:strRef>
              <c:f>E.S.R.I.!$B$71</c:f>
              <c:strCache>
                <c:ptCount val="1"/>
                <c:pt idx="0">
                  <c:v>Commerce Inter-entrep.</c:v>
                </c:pt>
              </c:strCache>
            </c:strRef>
          </c:tx>
          <c:spPr>
            <a:solidFill>
              <a:srgbClr val="FF99FF"/>
            </a:solidFill>
          </c:spPr>
          <c:invertIfNegative val="0"/>
          <c:cat>
            <c:strRef>
              <c:f>E.S.R.I.!$A$72:$A$81</c:f>
              <c:strCache>
                <c:ptCount val="10"/>
                <c:pt idx="0">
                  <c:v>AU Bordeaux</c:v>
                </c:pt>
                <c:pt idx="1">
                  <c:v>AU Strasbourg</c:v>
                </c:pt>
                <c:pt idx="2">
                  <c:v>AU Toulouse</c:v>
                </c:pt>
                <c:pt idx="3">
                  <c:v>AU Grenoble</c:v>
                </c:pt>
                <c:pt idx="4">
                  <c:v>AU Lyon</c:v>
                </c:pt>
                <c:pt idx="5">
                  <c:v>AU Rouen</c:v>
                </c:pt>
                <c:pt idx="6">
                  <c:v>AU Nice</c:v>
                </c:pt>
                <c:pt idx="7">
                  <c:v>AU Douai - Lens</c:v>
                </c:pt>
                <c:pt idx="8">
                  <c:v>AU Nantes</c:v>
                </c:pt>
                <c:pt idx="9">
                  <c:v>Bx Métropole</c:v>
                </c:pt>
              </c:strCache>
            </c:strRef>
          </c:cat>
          <c:val>
            <c:numRef>
              <c:f>E.S.R.I.!$B$72:$B$81</c:f>
              <c:numCache>
                <c:formatCode>#,##0</c:formatCode>
                <c:ptCount val="10"/>
                <c:pt idx="0">
                  <c:v>6663.4096204328471</c:v>
                </c:pt>
                <c:pt idx="1">
                  <c:v>4600.2361952514448</c:v>
                </c:pt>
                <c:pt idx="2">
                  <c:v>8882.5505699749847</c:v>
                </c:pt>
                <c:pt idx="3">
                  <c:v>4773.4199632869941</c:v>
                </c:pt>
                <c:pt idx="4">
                  <c:v>19608.347274480624</c:v>
                </c:pt>
                <c:pt idx="5">
                  <c:v>2205.4936151512547</c:v>
                </c:pt>
                <c:pt idx="6">
                  <c:v>3440.4349507718985</c:v>
                </c:pt>
                <c:pt idx="7">
                  <c:v>1049.972540750498</c:v>
                </c:pt>
                <c:pt idx="8">
                  <c:v>6449.4870544916212</c:v>
                </c:pt>
                <c:pt idx="9">
                  <c:v>5413.3654483613609</c:v>
                </c:pt>
              </c:numCache>
            </c:numRef>
          </c:val>
          <c:extLst>
            <c:ext xmlns:c16="http://schemas.microsoft.com/office/drawing/2014/chart" uri="{C3380CC4-5D6E-409C-BE32-E72D297353CC}">
              <c16:uniqueId val="{00000000-AEE1-452F-A68A-795AB8BA76B3}"/>
            </c:ext>
          </c:extLst>
        </c:ser>
        <c:ser>
          <c:idx val="1"/>
          <c:order val="1"/>
          <c:tx>
            <c:strRef>
              <c:f>E.S.R.I.!$C$71</c:f>
              <c:strCache>
                <c:ptCount val="1"/>
                <c:pt idx="0">
                  <c:v>Concept.Recherche</c:v>
                </c:pt>
              </c:strCache>
            </c:strRef>
          </c:tx>
          <c:spPr>
            <a:solidFill>
              <a:srgbClr val="92D050"/>
            </a:solidFill>
          </c:spPr>
          <c:invertIfNegative val="0"/>
          <c:cat>
            <c:strRef>
              <c:f>E.S.R.I.!$A$72:$A$81</c:f>
              <c:strCache>
                <c:ptCount val="10"/>
                <c:pt idx="0">
                  <c:v>AU Bordeaux</c:v>
                </c:pt>
                <c:pt idx="1">
                  <c:v>AU Strasbourg</c:v>
                </c:pt>
                <c:pt idx="2">
                  <c:v>AU Toulouse</c:v>
                </c:pt>
                <c:pt idx="3">
                  <c:v>AU Grenoble</c:v>
                </c:pt>
                <c:pt idx="4">
                  <c:v>AU Lyon</c:v>
                </c:pt>
                <c:pt idx="5">
                  <c:v>AU Rouen</c:v>
                </c:pt>
                <c:pt idx="6">
                  <c:v>AU Nice</c:v>
                </c:pt>
                <c:pt idx="7">
                  <c:v>AU Douai - Lens</c:v>
                </c:pt>
                <c:pt idx="8">
                  <c:v>AU Nantes</c:v>
                </c:pt>
                <c:pt idx="9">
                  <c:v>Bx Métropole</c:v>
                </c:pt>
              </c:strCache>
            </c:strRef>
          </c:cat>
          <c:val>
            <c:numRef>
              <c:f>E.S.R.I.!$C$72:$C$81</c:f>
              <c:numCache>
                <c:formatCode>#,##0</c:formatCode>
                <c:ptCount val="10"/>
                <c:pt idx="0">
                  <c:v>12874.920053120395</c:v>
                </c:pt>
                <c:pt idx="1">
                  <c:v>8504.3467745164471</c:v>
                </c:pt>
                <c:pt idx="2">
                  <c:v>35427.318158646696</c:v>
                </c:pt>
                <c:pt idx="3">
                  <c:v>18271.243618508943</c:v>
                </c:pt>
                <c:pt idx="4">
                  <c:v>31625.504935340457</c:v>
                </c:pt>
                <c:pt idx="5">
                  <c:v>2589.3777538546337</c:v>
                </c:pt>
                <c:pt idx="6">
                  <c:v>11740.393133518906</c:v>
                </c:pt>
                <c:pt idx="7">
                  <c:v>1008.6958952589811</c:v>
                </c:pt>
                <c:pt idx="8">
                  <c:v>12666.489633717731</c:v>
                </c:pt>
                <c:pt idx="9">
                  <c:v>11149.019712353414</c:v>
                </c:pt>
              </c:numCache>
            </c:numRef>
          </c:val>
          <c:extLst>
            <c:ext xmlns:c16="http://schemas.microsoft.com/office/drawing/2014/chart" uri="{C3380CC4-5D6E-409C-BE32-E72D297353CC}">
              <c16:uniqueId val="{00000001-AEE1-452F-A68A-795AB8BA76B3}"/>
            </c:ext>
          </c:extLst>
        </c:ser>
        <c:ser>
          <c:idx val="2"/>
          <c:order val="2"/>
          <c:tx>
            <c:strRef>
              <c:f>E.S.R.I.!$D$71</c:f>
              <c:strCache>
                <c:ptCount val="1"/>
                <c:pt idx="0">
                  <c:v>Culture Loisirs</c:v>
                </c:pt>
              </c:strCache>
            </c:strRef>
          </c:tx>
          <c:spPr>
            <a:solidFill>
              <a:schemeClr val="tx2">
                <a:lumMod val="60000"/>
                <a:lumOff val="40000"/>
              </a:schemeClr>
            </a:solidFill>
          </c:spPr>
          <c:invertIfNegative val="0"/>
          <c:cat>
            <c:strRef>
              <c:f>E.S.R.I.!$A$72:$A$81</c:f>
              <c:strCache>
                <c:ptCount val="10"/>
                <c:pt idx="0">
                  <c:v>AU Bordeaux</c:v>
                </c:pt>
                <c:pt idx="1">
                  <c:v>AU Strasbourg</c:v>
                </c:pt>
                <c:pt idx="2">
                  <c:v>AU Toulouse</c:v>
                </c:pt>
                <c:pt idx="3">
                  <c:v>AU Grenoble</c:v>
                </c:pt>
                <c:pt idx="4">
                  <c:v>AU Lyon</c:v>
                </c:pt>
                <c:pt idx="5">
                  <c:v>AU Rouen</c:v>
                </c:pt>
                <c:pt idx="6">
                  <c:v>AU Nice</c:v>
                </c:pt>
                <c:pt idx="7">
                  <c:v>AU Douai - Lens</c:v>
                </c:pt>
                <c:pt idx="8">
                  <c:v>AU Nantes</c:v>
                </c:pt>
                <c:pt idx="9">
                  <c:v>Bx Métropole</c:v>
                </c:pt>
              </c:strCache>
            </c:strRef>
          </c:cat>
          <c:val>
            <c:numRef>
              <c:f>E.S.R.I.!$D$72:$D$81</c:f>
              <c:numCache>
                <c:formatCode>#,##0</c:formatCode>
                <c:ptCount val="10"/>
                <c:pt idx="0">
                  <c:v>5325.8513120208099</c:v>
                </c:pt>
                <c:pt idx="1">
                  <c:v>3490.6221624223908</c:v>
                </c:pt>
                <c:pt idx="2">
                  <c:v>7163.742602221987</c:v>
                </c:pt>
                <c:pt idx="3">
                  <c:v>2900.7926237888487</c:v>
                </c:pt>
                <c:pt idx="4">
                  <c:v>10749.467621285761</c:v>
                </c:pt>
                <c:pt idx="5">
                  <c:v>2133.1422065496472</c:v>
                </c:pt>
                <c:pt idx="6">
                  <c:v>4310.0106048505386</c:v>
                </c:pt>
                <c:pt idx="7">
                  <c:v>655.68225448292981</c:v>
                </c:pt>
                <c:pt idx="8">
                  <c:v>4393.5468803278336</c:v>
                </c:pt>
                <c:pt idx="9">
                  <c:v>4466.4603912794209</c:v>
                </c:pt>
              </c:numCache>
            </c:numRef>
          </c:val>
          <c:extLst>
            <c:ext xmlns:c16="http://schemas.microsoft.com/office/drawing/2014/chart" uri="{C3380CC4-5D6E-409C-BE32-E72D297353CC}">
              <c16:uniqueId val="{00000002-AEE1-452F-A68A-795AB8BA76B3}"/>
            </c:ext>
          </c:extLst>
        </c:ser>
        <c:ser>
          <c:idx val="3"/>
          <c:order val="3"/>
          <c:tx>
            <c:strRef>
              <c:f>E.S.R.I.!$E$71</c:f>
              <c:strCache>
                <c:ptCount val="1"/>
                <c:pt idx="0">
                  <c:v>Gestion</c:v>
                </c:pt>
              </c:strCache>
            </c:strRef>
          </c:tx>
          <c:spPr>
            <a:solidFill>
              <a:schemeClr val="accent6">
                <a:lumMod val="60000"/>
                <a:lumOff val="40000"/>
              </a:schemeClr>
            </a:solidFill>
          </c:spPr>
          <c:invertIfNegative val="0"/>
          <c:cat>
            <c:strRef>
              <c:f>E.S.R.I.!$A$72:$A$81</c:f>
              <c:strCache>
                <c:ptCount val="10"/>
                <c:pt idx="0">
                  <c:v>AU Bordeaux</c:v>
                </c:pt>
                <c:pt idx="1">
                  <c:v>AU Strasbourg</c:v>
                </c:pt>
                <c:pt idx="2">
                  <c:v>AU Toulouse</c:v>
                </c:pt>
                <c:pt idx="3">
                  <c:v>AU Grenoble</c:v>
                </c:pt>
                <c:pt idx="4">
                  <c:v>AU Lyon</c:v>
                </c:pt>
                <c:pt idx="5">
                  <c:v>AU Rouen</c:v>
                </c:pt>
                <c:pt idx="6">
                  <c:v>AU Nice</c:v>
                </c:pt>
                <c:pt idx="7">
                  <c:v>AU Douai - Lens</c:v>
                </c:pt>
                <c:pt idx="8">
                  <c:v>AU Nantes</c:v>
                </c:pt>
                <c:pt idx="9">
                  <c:v>Bx Métropole</c:v>
                </c:pt>
              </c:strCache>
            </c:strRef>
          </c:cat>
          <c:val>
            <c:numRef>
              <c:f>E.S.R.I.!$E$72:$E$81</c:f>
              <c:numCache>
                <c:formatCode>#,##0</c:formatCode>
                <c:ptCount val="10"/>
                <c:pt idx="0">
                  <c:v>20545.723447411914</c:v>
                </c:pt>
                <c:pt idx="1">
                  <c:v>13886.998130049973</c:v>
                </c:pt>
                <c:pt idx="2">
                  <c:v>24878.225191971516</c:v>
                </c:pt>
                <c:pt idx="3">
                  <c:v>12186.413902606992</c:v>
                </c:pt>
                <c:pt idx="4">
                  <c:v>50055.300177155339</c:v>
                </c:pt>
                <c:pt idx="5">
                  <c:v>9476.9673998041199</c:v>
                </c:pt>
                <c:pt idx="6">
                  <c:v>14186.260305559361</c:v>
                </c:pt>
                <c:pt idx="7">
                  <c:v>4005.9788248338859</c:v>
                </c:pt>
                <c:pt idx="8">
                  <c:v>18765.727779160898</c:v>
                </c:pt>
                <c:pt idx="9">
                  <c:v>17709.247963116151</c:v>
                </c:pt>
              </c:numCache>
            </c:numRef>
          </c:val>
          <c:extLst>
            <c:ext xmlns:c16="http://schemas.microsoft.com/office/drawing/2014/chart" uri="{C3380CC4-5D6E-409C-BE32-E72D297353CC}">
              <c16:uniqueId val="{00000003-AEE1-452F-A68A-795AB8BA76B3}"/>
            </c:ext>
          </c:extLst>
        </c:ser>
        <c:ser>
          <c:idx val="4"/>
          <c:order val="4"/>
          <c:tx>
            <c:strRef>
              <c:f>E.S.R.I.!$F$71</c:f>
              <c:strCache>
                <c:ptCount val="1"/>
                <c:pt idx="0">
                  <c:v>Prest. Intellect.</c:v>
                </c:pt>
              </c:strCache>
            </c:strRef>
          </c:tx>
          <c:spPr>
            <a:solidFill>
              <a:srgbClr val="FFFF99"/>
            </a:solidFill>
          </c:spPr>
          <c:invertIfNegative val="0"/>
          <c:cat>
            <c:strRef>
              <c:f>E.S.R.I.!$A$72:$A$81</c:f>
              <c:strCache>
                <c:ptCount val="10"/>
                <c:pt idx="0">
                  <c:v>AU Bordeaux</c:v>
                </c:pt>
                <c:pt idx="1">
                  <c:v>AU Strasbourg</c:v>
                </c:pt>
                <c:pt idx="2">
                  <c:v>AU Toulouse</c:v>
                </c:pt>
                <c:pt idx="3">
                  <c:v>AU Grenoble</c:v>
                </c:pt>
                <c:pt idx="4">
                  <c:v>AU Lyon</c:v>
                </c:pt>
                <c:pt idx="5">
                  <c:v>AU Rouen</c:v>
                </c:pt>
                <c:pt idx="6">
                  <c:v>AU Nice</c:v>
                </c:pt>
                <c:pt idx="7">
                  <c:v>AU Douai - Lens</c:v>
                </c:pt>
                <c:pt idx="8">
                  <c:v>AU Nantes</c:v>
                </c:pt>
                <c:pt idx="9">
                  <c:v>Bx Métropole</c:v>
                </c:pt>
              </c:strCache>
            </c:strRef>
          </c:cat>
          <c:val>
            <c:numRef>
              <c:f>E.S.R.I.!$F$72:$F$81</c:f>
              <c:numCache>
                <c:formatCode>#,##0</c:formatCode>
                <c:ptCount val="10"/>
                <c:pt idx="0">
                  <c:v>11645.985205473346</c:v>
                </c:pt>
                <c:pt idx="1">
                  <c:v>6946.693148602104</c:v>
                </c:pt>
                <c:pt idx="2">
                  <c:v>17847.556813465988</c:v>
                </c:pt>
                <c:pt idx="3">
                  <c:v>7907.992987844229</c:v>
                </c:pt>
                <c:pt idx="4">
                  <c:v>27374.876741573396</c:v>
                </c:pt>
                <c:pt idx="5">
                  <c:v>3299.9459474108057</c:v>
                </c:pt>
                <c:pt idx="6">
                  <c:v>9417.2473211986271</c:v>
                </c:pt>
                <c:pt idx="7">
                  <c:v>1196.8484670037867</c:v>
                </c:pt>
                <c:pt idx="8">
                  <c:v>9820.8575028866235</c:v>
                </c:pt>
                <c:pt idx="9">
                  <c:v>10204.831974421539</c:v>
                </c:pt>
              </c:numCache>
            </c:numRef>
          </c:val>
          <c:extLst>
            <c:ext xmlns:c16="http://schemas.microsoft.com/office/drawing/2014/chart" uri="{C3380CC4-5D6E-409C-BE32-E72D297353CC}">
              <c16:uniqueId val="{00000004-AEE1-452F-A68A-795AB8BA76B3}"/>
            </c:ext>
          </c:extLst>
        </c:ser>
        <c:dLbls>
          <c:showLegendKey val="0"/>
          <c:showVal val="0"/>
          <c:showCatName val="0"/>
          <c:showSerName val="0"/>
          <c:showPercent val="0"/>
          <c:showBubbleSize val="0"/>
        </c:dLbls>
        <c:gapWidth val="150"/>
        <c:overlap val="100"/>
        <c:axId val="345184512"/>
        <c:axId val="345202688"/>
      </c:barChart>
      <c:catAx>
        <c:axId val="345184512"/>
        <c:scaling>
          <c:orientation val="minMax"/>
        </c:scaling>
        <c:delete val="0"/>
        <c:axPos val="b"/>
        <c:numFmt formatCode="General" sourceLinked="0"/>
        <c:majorTickMark val="out"/>
        <c:minorTickMark val="none"/>
        <c:tickLblPos val="nextTo"/>
        <c:txPr>
          <a:bodyPr/>
          <a:lstStyle/>
          <a:p>
            <a:pPr>
              <a:defRPr sz="700"/>
            </a:pPr>
            <a:endParaRPr lang="fr-FR"/>
          </a:p>
        </c:txPr>
        <c:crossAx val="345202688"/>
        <c:crosses val="autoZero"/>
        <c:auto val="1"/>
        <c:lblAlgn val="ctr"/>
        <c:lblOffset val="100"/>
        <c:noMultiLvlLbl val="0"/>
      </c:catAx>
      <c:valAx>
        <c:axId val="345202688"/>
        <c:scaling>
          <c:orientation val="minMax"/>
        </c:scaling>
        <c:delete val="0"/>
        <c:axPos val="l"/>
        <c:majorGridlines/>
        <c:numFmt formatCode="0%" sourceLinked="1"/>
        <c:majorTickMark val="out"/>
        <c:minorTickMark val="none"/>
        <c:tickLblPos val="nextTo"/>
        <c:txPr>
          <a:bodyPr/>
          <a:lstStyle/>
          <a:p>
            <a:pPr>
              <a:defRPr sz="900"/>
            </a:pPr>
            <a:endParaRPr lang="fr-FR"/>
          </a:p>
        </c:txPr>
        <c:crossAx val="345184512"/>
        <c:crosses val="autoZero"/>
        <c:crossBetween val="between"/>
      </c:valAx>
    </c:plotArea>
    <c:legend>
      <c:legendPos val="b"/>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6219727061375E-2"/>
          <c:y val="2.9352136429891505E-2"/>
          <c:w val="0.76704689820130978"/>
          <c:h val="0.85465190651078393"/>
        </c:manualLayout>
      </c:layout>
      <c:lineChart>
        <c:grouping val="standard"/>
        <c:varyColors val="0"/>
        <c:ser>
          <c:idx val="0"/>
          <c:order val="0"/>
          <c:tx>
            <c:strRef>
              <c:f>E.S.R.I.!$A$93</c:f>
              <c:strCache>
                <c:ptCount val="1"/>
                <c:pt idx="0">
                  <c:v>France métro.</c:v>
                </c:pt>
              </c:strCache>
            </c:strRef>
          </c:tx>
          <c:spPr>
            <a:ln>
              <a:solidFill>
                <a:schemeClr val="tx1">
                  <a:lumMod val="65000"/>
                  <a:lumOff val="35000"/>
                </a:schemeClr>
              </a:solidFill>
              <a:prstDash val="dash"/>
            </a:ln>
          </c:spPr>
          <c:marker>
            <c:symbol val="none"/>
          </c:marker>
          <c:cat>
            <c:numRef>
              <c:f>E.S.R.I.!$B$92:$D$92</c:f>
              <c:numCache>
                <c:formatCode>#,##0</c:formatCode>
                <c:ptCount val="3"/>
                <c:pt idx="0">
                  <c:v>1999</c:v>
                </c:pt>
                <c:pt idx="1">
                  <c:v>2009</c:v>
                </c:pt>
                <c:pt idx="2">
                  <c:v>2014</c:v>
                </c:pt>
              </c:numCache>
            </c:numRef>
          </c:cat>
          <c:val>
            <c:numRef>
              <c:f>E.S.R.I.!$B$93:$D$93</c:f>
              <c:numCache>
                <c:formatCode>#,##0</c:formatCode>
                <c:ptCount val="3"/>
                <c:pt idx="0">
                  <c:v>100</c:v>
                </c:pt>
                <c:pt idx="1">
                  <c:v>143.58703077088779</c:v>
                </c:pt>
                <c:pt idx="2">
                  <c:v>156.50707692326824</c:v>
                </c:pt>
              </c:numCache>
            </c:numRef>
          </c:val>
          <c:smooth val="0"/>
          <c:extLst>
            <c:ext xmlns:c16="http://schemas.microsoft.com/office/drawing/2014/chart" uri="{C3380CC4-5D6E-409C-BE32-E72D297353CC}">
              <c16:uniqueId val="{00000000-1388-423E-9EBA-54184CB28D25}"/>
            </c:ext>
          </c:extLst>
        </c:ser>
        <c:ser>
          <c:idx val="1"/>
          <c:order val="1"/>
          <c:tx>
            <c:strRef>
              <c:f>E.S.R.I.!$A$94</c:f>
              <c:strCache>
                <c:ptCount val="1"/>
                <c:pt idx="0">
                  <c:v>AU Montpellier</c:v>
                </c:pt>
              </c:strCache>
            </c:strRef>
          </c:tx>
          <c:marker>
            <c:symbol val="none"/>
          </c:marker>
          <c:cat>
            <c:numRef>
              <c:f>E.S.R.I.!$B$92:$D$92</c:f>
              <c:numCache>
                <c:formatCode>#,##0</c:formatCode>
                <c:ptCount val="3"/>
                <c:pt idx="0">
                  <c:v>1999</c:v>
                </c:pt>
                <c:pt idx="1">
                  <c:v>2009</c:v>
                </c:pt>
                <c:pt idx="2">
                  <c:v>2014</c:v>
                </c:pt>
              </c:numCache>
            </c:numRef>
          </c:cat>
          <c:val>
            <c:numRef>
              <c:f>E.S.R.I.!$B$94:$D$94</c:f>
              <c:numCache>
                <c:formatCode>#,##0</c:formatCode>
                <c:ptCount val="3"/>
                <c:pt idx="0">
                  <c:v>100</c:v>
                </c:pt>
                <c:pt idx="1">
                  <c:v>162.55159462003337</c:v>
                </c:pt>
                <c:pt idx="2">
                  <c:v>197.64428841390733</c:v>
                </c:pt>
              </c:numCache>
            </c:numRef>
          </c:val>
          <c:smooth val="0"/>
          <c:extLst>
            <c:ext xmlns:c16="http://schemas.microsoft.com/office/drawing/2014/chart" uri="{C3380CC4-5D6E-409C-BE32-E72D297353CC}">
              <c16:uniqueId val="{00000001-1388-423E-9EBA-54184CB28D25}"/>
            </c:ext>
          </c:extLst>
        </c:ser>
        <c:ser>
          <c:idx val="2"/>
          <c:order val="2"/>
          <c:tx>
            <c:strRef>
              <c:f>E.S.R.I.!$A$95</c:f>
              <c:strCache>
                <c:ptCount val="1"/>
                <c:pt idx="0">
                  <c:v>AU Strasbourg</c:v>
                </c:pt>
              </c:strCache>
            </c:strRef>
          </c:tx>
          <c:spPr>
            <a:ln>
              <a:solidFill>
                <a:srgbClr val="00B050"/>
              </a:solidFill>
            </a:ln>
          </c:spPr>
          <c:marker>
            <c:symbol val="none"/>
          </c:marker>
          <c:cat>
            <c:numRef>
              <c:f>E.S.R.I.!$B$92:$D$92</c:f>
              <c:numCache>
                <c:formatCode>#,##0</c:formatCode>
                <c:ptCount val="3"/>
                <c:pt idx="0">
                  <c:v>1999</c:v>
                </c:pt>
                <c:pt idx="1">
                  <c:v>2009</c:v>
                </c:pt>
                <c:pt idx="2">
                  <c:v>2014</c:v>
                </c:pt>
              </c:numCache>
            </c:numRef>
          </c:cat>
          <c:val>
            <c:numRef>
              <c:f>E.S.R.I.!$B$95:$D$95</c:f>
              <c:numCache>
                <c:formatCode>#,##0</c:formatCode>
                <c:ptCount val="3"/>
                <c:pt idx="0">
                  <c:v>100</c:v>
                </c:pt>
                <c:pt idx="1">
                  <c:v>138.65058357631094</c:v>
                </c:pt>
                <c:pt idx="2">
                  <c:v>148.13351965347036</c:v>
                </c:pt>
              </c:numCache>
            </c:numRef>
          </c:val>
          <c:smooth val="0"/>
          <c:extLst>
            <c:ext xmlns:c16="http://schemas.microsoft.com/office/drawing/2014/chart" uri="{C3380CC4-5D6E-409C-BE32-E72D297353CC}">
              <c16:uniqueId val="{00000002-1388-423E-9EBA-54184CB28D25}"/>
            </c:ext>
          </c:extLst>
        </c:ser>
        <c:ser>
          <c:idx val="3"/>
          <c:order val="3"/>
          <c:tx>
            <c:strRef>
              <c:f>E.S.R.I.!$A$96</c:f>
              <c:strCache>
                <c:ptCount val="1"/>
                <c:pt idx="0">
                  <c:v>AU Douai - Lens</c:v>
                </c:pt>
              </c:strCache>
            </c:strRef>
          </c:tx>
          <c:spPr>
            <a:ln>
              <a:solidFill>
                <a:schemeClr val="accent6">
                  <a:lumMod val="75000"/>
                </a:schemeClr>
              </a:solidFill>
            </a:ln>
          </c:spPr>
          <c:marker>
            <c:symbol val="none"/>
          </c:marker>
          <c:cat>
            <c:numRef>
              <c:f>E.S.R.I.!$B$92:$D$92</c:f>
              <c:numCache>
                <c:formatCode>#,##0</c:formatCode>
                <c:ptCount val="3"/>
                <c:pt idx="0">
                  <c:v>1999</c:v>
                </c:pt>
                <c:pt idx="1">
                  <c:v>2009</c:v>
                </c:pt>
                <c:pt idx="2">
                  <c:v>2014</c:v>
                </c:pt>
              </c:numCache>
            </c:numRef>
          </c:cat>
          <c:val>
            <c:numRef>
              <c:f>E.S.R.I.!$B$96:$D$96</c:f>
              <c:numCache>
                <c:formatCode>#,##0</c:formatCode>
                <c:ptCount val="3"/>
                <c:pt idx="0">
                  <c:v>100</c:v>
                </c:pt>
                <c:pt idx="1">
                  <c:v>138.87434605009219</c:v>
                </c:pt>
                <c:pt idx="2">
                  <c:v>142.90934986155384</c:v>
                </c:pt>
              </c:numCache>
            </c:numRef>
          </c:val>
          <c:smooth val="0"/>
          <c:extLst>
            <c:ext xmlns:c16="http://schemas.microsoft.com/office/drawing/2014/chart" uri="{C3380CC4-5D6E-409C-BE32-E72D297353CC}">
              <c16:uniqueId val="{00000003-1388-423E-9EBA-54184CB28D25}"/>
            </c:ext>
          </c:extLst>
        </c:ser>
        <c:ser>
          <c:idx val="4"/>
          <c:order val="4"/>
          <c:tx>
            <c:strRef>
              <c:f>E.S.R.I.!$A$97</c:f>
              <c:strCache>
                <c:ptCount val="1"/>
                <c:pt idx="0">
                  <c:v>AU Toulouse</c:v>
                </c:pt>
              </c:strCache>
            </c:strRef>
          </c:tx>
          <c:spPr>
            <a:ln cmpd="sng">
              <a:solidFill>
                <a:srgbClr val="3DA5C1"/>
              </a:solidFill>
              <a:prstDash val="solid"/>
            </a:ln>
          </c:spPr>
          <c:marker>
            <c:symbol val="none"/>
          </c:marker>
          <c:cat>
            <c:numRef>
              <c:f>E.S.R.I.!$B$92:$D$92</c:f>
              <c:numCache>
                <c:formatCode>#,##0</c:formatCode>
                <c:ptCount val="3"/>
                <c:pt idx="0">
                  <c:v>1999</c:v>
                </c:pt>
                <c:pt idx="1">
                  <c:v>2009</c:v>
                </c:pt>
                <c:pt idx="2">
                  <c:v>2014</c:v>
                </c:pt>
              </c:numCache>
            </c:numRef>
          </c:cat>
          <c:val>
            <c:numRef>
              <c:f>E.S.R.I.!$B$97:$D$97</c:f>
              <c:numCache>
                <c:formatCode>#,##0</c:formatCode>
                <c:ptCount val="3"/>
                <c:pt idx="0">
                  <c:v>100</c:v>
                </c:pt>
                <c:pt idx="1">
                  <c:v>179.58918582805944</c:v>
                </c:pt>
                <c:pt idx="2">
                  <c:v>210.20081522801172</c:v>
                </c:pt>
              </c:numCache>
            </c:numRef>
          </c:val>
          <c:smooth val="0"/>
          <c:extLst>
            <c:ext xmlns:c16="http://schemas.microsoft.com/office/drawing/2014/chart" uri="{C3380CC4-5D6E-409C-BE32-E72D297353CC}">
              <c16:uniqueId val="{00000004-1388-423E-9EBA-54184CB28D25}"/>
            </c:ext>
          </c:extLst>
        </c:ser>
        <c:dLbls>
          <c:showLegendKey val="0"/>
          <c:showVal val="0"/>
          <c:showCatName val="0"/>
          <c:showSerName val="0"/>
          <c:showPercent val="0"/>
          <c:showBubbleSize val="0"/>
        </c:dLbls>
        <c:smooth val="0"/>
        <c:axId val="345228032"/>
        <c:axId val="345229568"/>
      </c:lineChart>
      <c:catAx>
        <c:axId val="345228032"/>
        <c:scaling>
          <c:orientation val="minMax"/>
        </c:scaling>
        <c:delete val="0"/>
        <c:axPos val="b"/>
        <c:numFmt formatCode="General" sourceLinked="0"/>
        <c:majorTickMark val="out"/>
        <c:minorTickMark val="none"/>
        <c:tickLblPos val="nextTo"/>
        <c:txPr>
          <a:bodyPr/>
          <a:lstStyle/>
          <a:p>
            <a:pPr>
              <a:defRPr sz="900"/>
            </a:pPr>
            <a:endParaRPr lang="fr-FR"/>
          </a:p>
        </c:txPr>
        <c:crossAx val="345229568"/>
        <c:crosses val="autoZero"/>
        <c:auto val="1"/>
        <c:lblAlgn val="ctr"/>
        <c:lblOffset val="100"/>
        <c:noMultiLvlLbl val="0"/>
      </c:catAx>
      <c:valAx>
        <c:axId val="345229568"/>
        <c:scaling>
          <c:orientation val="minMax"/>
          <c:min val="100"/>
        </c:scaling>
        <c:delete val="0"/>
        <c:axPos val="l"/>
        <c:majorGridlines/>
        <c:numFmt formatCode="#,##0" sourceLinked="1"/>
        <c:majorTickMark val="out"/>
        <c:minorTickMark val="none"/>
        <c:tickLblPos val="nextTo"/>
        <c:txPr>
          <a:bodyPr/>
          <a:lstStyle/>
          <a:p>
            <a:pPr>
              <a:defRPr sz="900"/>
            </a:pPr>
            <a:endParaRPr lang="fr-FR"/>
          </a:p>
        </c:txPr>
        <c:crossAx val="345228032"/>
        <c:crosses val="autoZero"/>
        <c:crossBetween val="midCat"/>
      </c:valAx>
    </c:plotArea>
    <c:legend>
      <c:legendPos val="r"/>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787735447961533E-2"/>
          <c:y val="6.2101083274169314E-2"/>
          <c:w val="0.68449077279651316"/>
          <c:h val="0.797774434447731"/>
        </c:manualLayout>
      </c:layout>
      <c:lineChart>
        <c:grouping val="standard"/>
        <c:varyColors val="0"/>
        <c:ser>
          <c:idx val="0"/>
          <c:order val="0"/>
          <c:tx>
            <c:strRef>
              <c:f>'D_Ch7-1'!$AD$95</c:f>
              <c:strCache>
                <c:ptCount val="1"/>
                <c:pt idx="0">
                  <c:v>Auvergne-Rhône-Alpes</c:v>
                </c:pt>
              </c:strCache>
            </c:strRef>
          </c:tx>
          <c:marker>
            <c:symbol val="none"/>
          </c:marker>
          <c:cat>
            <c:numRef>
              <c:f>'D_Ch7-1'!$AE$82:$AI$82</c:f>
              <c:numCache>
                <c:formatCode>General</c:formatCode>
                <c:ptCount val="5"/>
                <c:pt idx="0">
                  <c:v>2012</c:v>
                </c:pt>
                <c:pt idx="1">
                  <c:v>2013</c:v>
                </c:pt>
                <c:pt idx="2">
                  <c:v>2014</c:v>
                </c:pt>
                <c:pt idx="3">
                  <c:v>2015</c:v>
                </c:pt>
                <c:pt idx="4">
                  <c:v>2016</c:v>
                </c:pt>
              </c:numCache>
            </c:numRef>
          </c:cat>
          <c:val>
            <c:numRef>
              <c:f>'D_Ch7-1'!$AE$95:$AI$95</c:f>
              <c:numCache>
                <c:formatCode>0</c:formatCode>
                <c:ptCount val="5"/>
                <c:pt idx="0" formatCode="#,##0">
                  <c:v>100</c:v>
                </c:pt>
                <c:pt idx="1">
                  <c:v>108.12519890147452</c:v>
                </c:pt>
                <c:pt idx="2">
                  <c:v>101.04352062485511</c:v>
                </c:pt>
                <c:pt idx="3">
                  <c:v>112.02209623491788</c:v>
                </c:pt>
                <c:pt idx="4">
                  <c:v>119.67032448933888</c:v>
                </c:pt>
              </c:numCache>
            </c:numRef>
          </c:val>
          <c:smooth val="0"/>
          <c:extLst>
            <c:ext xmlns:c16="http://schemas.microsoft.com/office/drawing/2014/chart" uri="{C3380CC4-5D6E-409C-BE32-E72D297353CC}">
              <c16:uniqueId val="{00000000-0E06-4CF7-AA03-F53AE0629BB1}"/>
            </c:ext>
          </c:extLst>
        </c:ser>
        <c:ser>
          <c:idx val="1"/>
          <c:order val="1"/>
          <c:tx>
            <c:strRef>
              <c:f>'D_Ch7-1'!$AD$96</c:f>
              <c:strCache>
                <c:ptCount val="1"/>
                <c:pt idx="0">
                  <c:v>Bretagne</c:v>
                </c:pt>
              </c:strCache>
            </c:strRef>
          </c:tx>
          <c:spPr>
            <a:ln>
              <a:solidFill>
                <a:srgbClr val="00B050"/>
              </a:solidFill>
            </a:ln>
          </c:spPr>
          <c:marker>
            <c:symbol val="none"/>
          </c:marker>
          <c:cat>
            <c:numRef>
              <c:f>'D_Ch7-1'!$AE$82:$AI$82</c:f>
              <c:numCache>
                <c:formatCode>General</c:formatCode>
                <c:ptCount val="5"/>
                <c:pt idx="0">
                  <c:v>2012</c:v>
                </c:pt>
                <c:pt idx="1">
                  <c:v>2013</c:v>
                </c:pt>
                <c:pt idx="2">
                  <c:v>2014</c:v>
                </c:pt>
                <c:pt idx="3">
                  <c:v>2015</c:v>
                </c:pt>
                <c:pt idx="4">
                  <c:v>2016</c:v>
                </c:pt>
              </c:numCache>
            </c:numRef>
          </c:cat>
          <c:val>
            <c:numRef>
              <c:f>'D_Ch7-1'!$AE$96:$AI$96</c:f>
              <c:numCache>
                <c:formatCode>0</c:formatCode>
                <c:ptCount val="5"/>
                <c:pt idx="0" formatCode="#,##0">
                  <c:v>100</c:v>
                </c:pt>
                <c:pt idx="1">
                  <c:v>102.57984905443796</c:v>
                </c:pt>
                <c:pt idx="2">
                  <c:v>110.61019121684316</c:v>
                </c:pt>
                <c:pt idx="3">
                  <c:v>118.99637462813632</c:v>
                </c:pt>
                <c:pt idx="4">
                  <c:v>108.13843372456739</c:v>
                </c:pt>
              </c:numCache>
            </c:numRef>
          </c:val>
          <c:smooth val="0"/>
          <c:extLst>
            <c:ext xmlns:c16="http://schemas.microsoft.com/office/drawing/2014/chart" uri="{C3380CC4-5D6E-409C-BE32-E72D297353CC}">
              <c16:uniqueId val="{00000001-0E06-4CF7-AA03-F53AE0629BB1}"/>
            </c:ext>
          </c:extLst>
        </c:ser>
        <c:ser>
          <c:idx val="6"/>
          <c:order val="2"/>
          <c:tx>
            <c:strRef>
              <c:f>'D_Ch7-1'!$AD$97</c:f>
              <c:strCache>
                <c:ptCount val="1"/>
                <c:pt idx="0">
                  <c:v>Grand-Est</c:v>
                </c:pt>
              </c:strCache>
            </c:strRef>
          </c:tx>
          <c:spPr>
            <a:ln>
              <a:solidFill>
                <a:srgbClr val="FF0000"/>
              </a:solidFill>
              <a:prstDash val="dash"/>
            </a:ln>
          </c:spPr>
          <c:marker>
            <c:symbol val="none"/>
          </c:marker>
          <c:cat>
            <c:numRef>
              <c:f>'D_Ch7-1'!$AE$82:$AI$82</c:f>
              <c:numCache>
                <c:formatCode>General</c:formatCode>
                <c:ptCount val="5"/>
                <c:pt idx="0">
                  <c:v>2012</c:v>
                </c:pt>
                <c:pt idx="1">
                  <c:v>2013</c:v>
                </c:pt>
                <c:pt idx="2">
                  <c:v>2014</c:v>
                </c:pt>
                <c:pt idx="3">
                  <c:v>2015</c:v>
                </c:pt>
                <c:pt idx="4">
                  <c:v>2016</c:v>
                </c:pt>
              </c:numCache>
            </c:numRef>
          </c:cat>
          <c:val>
            <c:numRef>
              <c:f>'D_Ch7-1'!$AE$97:$AI$97</c:f>
              <c:numCache>
                <c:formatCode>0</c:formatCode>
                <c:ptCount val="5"/>
                <c:pt idx="0" formatCode="#,##0">
                  <c:v>100</c:v>
                </c:pt>
                <c:pt idx="1">
                  <c:v>107.70506880107453</c:v>
                </c:pt>
                <c:pt idx="2">
                  <c:v>110.23483331620932</c:v>
                </c:pt>
                <c:pt idx="3">
                  <c:v>110.52276788063622</c:v>
                </c:pt>
                <c:pt idx="4">
                  <c:v>112.17970725399637</c:v>
                </c:pt>
              </c:numCache>
            </c:numRef>
          </c:val>
          <c:smooth val="0"/>
          <c:extLst>
            <c:ext xmlns:c16="http://schemas.microsoft.com/office/drawing/2014/chart" uri="{C3380CC4-5D6E-409C-BE32-E72D297353CC}">
              <c16:uniqueId val="{00000002-0E06-4CF7-AA03-F53AE0629BB1}"/>
            </c:ext>
          </c:extLst>
        </c:ser>
        <c:ser>
          <c:idx val="8"/>
          <c:order val="3"/>
          <c:tx>
            <c:strRef>
              <c:f>'D_Ch7-1'!$AD$98</c:f>
              <c:strCache>
                <c:ptCount val="1"/>
                <c:pt idx="0">
                  <c:v>Hauts-de-France</c:v>
                </c:pt>
              </c:strCache>
            </c:strRef>
          </c:tx>
          <c:marker>
            <c:symbol val="none"/>
          </c:marker>
          <c:cat>
            <c:numRef>
              <c:f>'D_Ch7-1'!$AE$82:$AI$82</c:f>
              <c:numCache>
                <c:formatCode>General</c:formatCode>
                <c:ptCount val="5"/>
                <c:pt idx="0">
                  <c:v>2012</c:v>
                </c:pt>
                <c:pt idx="1">
                  <c:v>2013</c:v>
                </c:pt>
                <c:pt idx="2">
                  <c:v>2014</c:v>
                </c:pt>
                <c:pt idx="3">
                  <c:v>2015</c:v>
                </c:pt>
                <c:pt idx="4">
                  <c:v>2016</c:v>
                </c:pt>
              </c:numCache>
            </c:numRef>
          </c:cat>
          <c:val>
            <c:numRef>
              <c:f>'D_Ch7-1'!$AE$98:$AI$98</c:f>
              <c:numCache>
                <c:formatCode>0</c:formatCode>
                <c:ptCount val="5"/>
                <c:pt idx="0" formatCode="#,##0">
                  <c:v>100</c:v>
                </c:pt>
                <c:pt idx="1">
                  <c:v>101.8510394764044</c:v>
                </c:pt>
                <c:pt idx="2">
                  <c:v>111.60038523403975</c:v>
                </c:pt>
                <c:pt idx="3">
                  <c:v>114.78865072281808</c:v>
                </c:pt>
                <c:pt idx="4">
                  <c:v>120.93777260098526</c:v>
                </c:pt>
              </c:numCache>
            </c:numRef>
          </c:val>
          <c:smooth val="0"/>
          <c:extLst>
            <c:ext xmlns:c16="http://schemas.microsoft.com/office/drawing/2014/chart" uri="{C3380CC4-5D6E-409C-BE32-E72D297353CC}">
              <c16:uniqueId val="{00000003-0E06-4CF7-AA03-F53AE0629BB1}"/>
            </c:ext>
          </c:extLst>
        </c:ser>
        <c:ser>
          <c:idx val="9"/>
          <c:order val="4"/>
          <c:tx>
            <c:strRef>
              <c:f>'D_Ch7-1'!$AD$99</c:f>
              <c:strCache>
                <c:ptCount val="1"/>
                <c:pt idx="0">
                  <c:v>Normandie</c:v>
                </c:pt>
              </c:strCache>
            </c:strRef>
          </c:tx>
          <c:marker>
            <c:symbol val="none"/>
          </c:marker>
          <c:cat>
            <c:numRef>
              <c:f>'D_Ch7-1'!$AE$82:$AI$82</c:f>
              <c:numCache>
                <c:formatCode>General</c:formatCode>
                <c:ptCount val="5"/>
                <c:pt idx="0">
                  <c:v>2012</c:v>
                </c:pt>
                <c:pt idx="1">
                  <c:v>2013</c:v>
                </c:pt>
                <c:pt idx="2">
                  <c:v>2014</c:v>
                </c:pt>
                <c:pt idx="3">
                  <c:v>2015</c:v>
                </c:pt>
                <c:pt idx="4">
                  <c:v>2016</c:v>
                </c:pt>
              </c:numCache>
            </c:numRef>
          </c:cat>
          <c:val>
            <c:numRef>
              <c:f>'D_Ch7-1'!$AE$99:$AI$99</c:f>
              <c:numCache>
                <c:formatCode>0</c:formatCode>
                <c:ptCount val="5"/>
                <c:pt idx="0" formatCode="#,##0">
                  <c:v>100</c:v>
                </c:pt>
                <c:pt idx="1">
                  <c:v>107.0267738099528</c:v>
                </c:pt>
                <c:pt idx="2">
                  <c:v>116.72612398352014</c:v>
                </c:pt>
                <c:pt idx="3">
                  <c:v>109.45611569553049</c:v>
                </c:pt>
                <c:pt idx="4">
                  <c:v>105.54154204653288</c:v>
                </c:pt>
              </c:numCache>
            </c:numRef>
          </c:val>
          <c:smooth val="0"/>
          <c:extLst>
            <c:ext xmlns:c16="http://schemas.microsoft.com/office/drawing/2014/chart" uri="{C3380CC4-5D6E-409C-BE32-E72D297353CC}">
              <c16:uniqueId val="{00000004-0E06-4CF7-AA03-F53AE0629BB1}"/>
            </c:ext>
          </c:extLst>
        </c:ser>
        <c:ser>
          <c:idx val="2"/>
          <c:order val="5"/>
          <c:tx>
            <c:strRef>
              <c:f>'D_Ch7-1'!$AD$100</c:f>
              <c:strCache>
                <c:ptCount val="1"/>
                <c:pt idx="0">
                  <c:v>Nouvelle-Aquitaine</c:v>
                </c:pt>
              </c:strCache>
            </c:strRef>
          </c:tx>
          <c:spPr>
            <a:ln>
              <a:solidFill>
                <a:srgbClr val="FFFF00"/>
              </a:solidFill>
            </a:ln>
          </c:spPr>
          <c:marker>
            <c:symbol val="none"/>
          </c:marker>
          <c:cat>
            <c:numRef>
              <c:f>'D_Ch7-1'!$AE$82:$AI$82</c:f>
              <c:numCache>
                <c:formatCode>General</c:formatCode>
                <c:ptCount val="5"/>
                <c:pt idx="0">
                  <c:v>2012</c:v>
                </c:pt>
                <c:pt idx="1">
                  <c:v>2013</c:v>
                </c:pt>
                <c:pt idx="2">
                  <c:v>2014</c:v>
                </c:pt>
                <c:pt idx="3">
                  <c:v>2015</c:v>
                </c:pt>
                <c:pt idx="4">
                  <c:v>2016</c:v>
                </c:pt>
              </c:numCache>
            </c:numRef>
          </c:cat>
          <c:val>
            <c:numRef>
              <c:f>'D_Ch7-1'!$AE$100:$AI$100</c:f>
              <c:numCache>
                <c:formatCode>0</c:formatCode>
                <c:ptCount val="5"/>
                <c:pt idx="0" formatCode="#,##0">
                  <c:v>100</c:v>
                </c:pt>
                <c:pt idx="1">
                  <c:v>106.4141602656032</c:v>
                </c:pt>
                <c:pt idx="2">
                  <c:v>114.82722039958355</c:v>
                </c:pt>
                <c:pt idx="3">
                  <c:v>124.37086222815945</c:v>
                </c:pt>
                <c:pt idx="4">
                  <c:v>129.11223307074241</c:v>
                </c:pt>
              </c:numCache>
            </c:numRef>
          </c:val>
          <c:smooth val="0"/>
          <c:extLst>
            <c:ext xmlns:c16="http://schemas.microsoft.com/office/drawing/2014/chart" uri="{C3380CC4-5D6E-409C-BE32-E72D297353CC}">
              <c16:uniqueId val="{00000005-0E06-4CF7-AA03-F53AE0629BB1}"/>
            </c:ext>
          </c:extLst>
        </c:ser>
        <c:ser>
          <c:idx val="3"/>
          <c:order val="6"/>
          <c:tx>
            <c:strRef>
              <c:f>'D_Ch7-1'!$AD$101</c:f>
              <c:strCache>
                <c:ptCount val="1"/>
                <c:pt idx="0">
                  <c:v>Occitanie</c:v>
                </c:pt>
              </c:strCache>
            </c:strRef>
          </c:tx>
          <c:marker>
            <c:symbol val="none"/>
          </c:marker>
          <c:cat>
            <c:numRef>
              <c:f>'D_Ch7-1'!$AE$82:$AI$82</c:f>
              <c:numCache>
                <c:formatCode>General</c:formatCode>
                <c:ptCount val="5"/>
                <c:pt idx="0">
                  <c:v>2012</c:v>
                </c:pt>
                <c:pt idx="1">
                  <c:v>2013</c:v>
                </c:pt>
                <c:pt idx="2">
                  <c:v>2014</c:v>
                </c:pt>
                <c:pt idx="3">
                  <c:v>2015</c:v>
                </c:pt>
                <c:pt idx="4">
                  <c:v>2016</c:v>
                </c:pt>
              </c:numCache>
            </c:numRef>
          </c:cat>
          <c:val>
            <c:numRef>
              <c:f>'D_Ch7-1'!$AE$101:$AI$101</c:f>
              <c:numCache>
                <c:formatCode>0</c:formatCode>
                <c:ptCount val="5"/>
                <c:pt idx="0" formatCode="#,##0">
                  <c:v>100</c:v>
                </c:pt>
                <c:pt idx="1">
                  <c:v>98.396018107567215</c:v>
                </c:pt>
                <c:pt idx="2">
                  <c:v>97.427130334605991</c:v>
                </c:pt>
                <c:pt idx="3">
                  <c:v>98.565868860449129</c:v>
                </c:pt>
                <c:pt idx="4">
                  <c:v>101.17443179999952</c:v>
                </c:pt>
              </c:numCache>
            </c:numRef>
          </c:val>
          <c:smooth val="0"/>
          <c:extLst>
            <c:ext xmlns:c16="http://schemas.microsoft.com/office/drawing/2014/chart" uri="{C3380CC4-5D6E-409C-BE32-E72D297353CC}">
              <c16:uniqueId val="{00000006-0E06-4CF7-AA03-F53AE0629BB1}"/>
            </c:ext>
          </c:extLst>
        </c:ser>
        <c:ser>
          <c:idx val="7"/>
          <c:order val="7"/>
          <c:tx>
            <c:strRef>
              <c:f>'D_Ch7-1'!$AD$102</c:f>
              <c:strCache>
                <c:ptCount val="1"/>
                <c:pt idx="0">
                  <c:v>Pays de la Loire</c:v>
                </c:pt>
              </c:strCache>
            </c:strRef>
          </c:tx>
          <c:spPr>
            <a:ln>
              <a:solidFill>
                <a:srgbClr val="FF33CC"/>
              </a:solidFill>
            </a:ln>
          </c:spPr>
          <c:marker>
            <c:symbol val="none"/>
          </c:marker>
          <c:cat>
            <c:numRef>
              <c:f>'D_Ch7-1'!$AE$82:$AI$82</c:f>
              <c:numCache>
                <c:formatCode>General</c:formatCode>
                <c:ptCount val="5"/>
                <c:pt idx="0">
                  <c:v>2012</c:v>
                </c:pt>
                <c:pt idx="1">
                  <c:v>2013</c:v>
                </c:pt>
                <c:pt idx="2">
                  <c:v>2014</c:v>
                </c:pt>
                <c:pt idx="3">
                  <c:v>2015</c:v>
                </c:pt>
                <c:pt idx="4">
                  <c:v>2016</c:v>
                </c:pt>
              </c:numCache>
            </c:numRef>
          </c:cat>
          <c:val>
            <c:numRef>
              <c:f>'D_Ch7-1'!$AE$102:$AI$102</c:f>
              <c:numCache>
                <c:formatCode>0</c:formatCode>
                <c:ptCount val="5"/>
                <c:pt idx="0" formatCode="#,##0">
                  <c:v>100</c:v>
                </c:pt>
                <c:pt idx="1">
                  <c:v>101.63139127374008</c:v>
                </c:pt>
                <c:pt idx="2">
                  <c:v>98.575210810645373</c:v>
                </c:pt>
                <c:pt idx="3">
                  <c:v>111.718164149182</c:v>
                </c:pt>
                <c:pt idx="4">
                  <c:v>116.46542093261706</c:v>
                </c:pt>
              </c:numCache>
            </c:numRef>
          </c:val>
          <c:smooth val="0"/>
          <c:extLst>
            <c:ext xmlns:c16="http://schemas.microsoft.com/office/drawing/2014/chart" uri="{C3380CC4-5D6E-409C-BE32-E72D297353CC}">
              <c16:uniqueId val="{00000007-0E06-4CF7-AA03-F53AE0629BB1}"/>
            </c:ext>
          </c:extLst>
        </c:ser>
        <c:ser>
          <c:idx val="4"/>
          <c:order val="8"/>
          <c:tx>
            <c:strRef>
              <c:f>'D_Ch7-1'!$AD$103</c:f>
              <c:strCache>
                <c:ptCount val="1"/>
                <c:pt idx="0">
                  <c:v>Provence-Alpes-Côte d'Azur</c:v>
                </c:pt>
              </c:strCache>
            </c:strRef>
          </c:tx>
          <c:spPr>
            <a:ln>
              <a:solidFill>
                <a:schemeClr val="tx1"/>
              </a:solidFill>
              <a:prstDash val="sysDot"/>
            </a:ln>
          </c:spPr>
          <c:marker>
            <c:symbol val="none"/>
          </c:marker>
          <c:cat>
            <c:numRef>
              <c:f>'D_Ch7-1'!$AE$82:$AI$82</c:f>
              <c:numCache>
                <c:formatCode>General</c:formatCode>
                <c:ptCount val="5"/>
                <c:pt idx="0">
                  <c:v>2012</c:v>
                </c:pt>
                <c:pt idx="1">
                  <c:v>2013</c:v>
                </c:pt>
                <c:pt idx="2">
                  <c:v>2014</c:v>
                </c:pt>
                <c:pt idx="3">
                  <c:v>2015</c:v>
                </c:pt>
                <c:pt idx="4">
                  <c:v>2016</c:v>
                </c:pt>
              </c:numCache>
            </c:numRef>
          </c:cat>
          <c:val>
            <c:numRef>
              <c:f>'D_Ch7-1'!$AE$103:$AI$103</c:f>
              <c:numCache>
                <c:formatCode>0</c:formatCode>
                <c:ptCount val="5"/>
                <c:pt idx="0" formatCode="#,##0">
                  <c:v>100</c:v>
                </c:pt>
                <c:pt idx="1">
                  <c:v>101.61905662030139</c:v>
                </c:pt>
                <c:pt idx="2">
                  <c:v>100.52420228583546</c:v>
                </c:pt>
                <c:pt idx="3">
                  <c:v>104.02211147020989</c:v>
                </c:pt>
                <c:pt idx="4">
                  <c:v>97.338878105679541</c:v>
                </c:pt>
              </c:numCache>
            </c:numRef>
          </c:val>
          <c:smooth val="0"/>
          <c:extLst>
            <c:ext xmlns:c16="http://schemas.microsoft.com/office/drawing/2014/chart" uri="{C3380CC4-5D6E-409C-BE32-E72D297353CC}">
              <c16:uniqueId val="{00000008-0E06-4CF7-AA03-F53AE0629BB1}"/>
            </c:ext>
          </c:extLst>
        </c:ser>
        <c:dLbls>
          <c:showLegendKey val="0"/>
          <c:showVal val="0"/>
          <c:showCatName val="0"/>
          <c:showSerName val="0"/>
          <c:showPercent val="0"/>
          <c:showBubbleSize val="0"/>
        </c:dLbls>
        <c:smooth val="0"/>
        <c:axId val="143581952"/>
        <c:axId val="143583488"/>
      </c:lineChart>
      <c:catAx>
        <c:axId val="143581952"/>
        <c:scaling>
          <c:orientation val="minMax"/>
        </c:scaling>
        <c:delete val="0"/>
        <c:axPos val="b"/>
        <c:numFmt formatCode="General" sourceLinked="1"/>
        <c:majorTickMark val="out"/>
        <c:minorTickMark val="none"/>
        <c:tickLblPos val="nextTo"/>
        <c:crossAx val="143583488"/>
        <c:crosses val="autoZero"/>
        <c:auto val="1"/>
        <c:lblAlgn val="ctr"/>
        <c:lblOffset val="100"/>
        <c:noMultiLvlLbl val="0"/>
      </c:catAx>
      <c:valAx>
        <c:axId val="143583488"/>
        <c:scaling>
          <c:orientation val="minMax"/>
          <c:max val="140"/>
          <c:min val="90"/>
        </c:scaling>
        <c:delete val="0"/>
        <c:axPos val="l"/>
        <c:majorGridlines/>
        <c:numFmt formatCode="#,##0" sourceLinked="0"/>
        <c:majorTickMark val="out"/>
        <c:minorTickMark val="none"/>
        <c:tickLblPos val="nextTo"/>
        <c:crossAx val="143581952"/>
        <c:crosses val="autoZero"/>
        <c:crossBetween val="midCat"/>
        <c:majorUnit val="10"/>
      </c:valAx>
    </c:plotArea>
    <c:legend>
      <c:legendPos val="r"/>
      <c:layout>
        <c:manualLayout>
          <c:xMode val="edge"/>
          <c:yMode val="edge"/>
          <c:x val="0.74892054716976553"/>
          <c:y val="2.6282187652449204E-2"/>
          <c:w val="0.24722263726011823"/>
          <c:h val="0.88003134897450197"/>
        </c:manualLayout>
      </c:layout>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0.27047111151627029"/>
          <c:y val="2.4505702268172024E-2"/>
          <c:w val="0.68673101101146727"/>
          <c:h val="0.8793049432053599"/>
        </c:manualLayout>
      </c:layout>
      <c:barChart>
        <c:barDir val="bar"/>
        <c:grouping val="percentStacked"/>
        <c:varyColors val="0"/>
        <c:ser>
          <c:idx val="0"/>
          <c:order val="0"/>
          <c:tx>
            <c:strRef>
              <c:f>'D_Ch7-1'!$B$197</c:f>
              <c:strCache>
                <c:ptCount val="1"/>
                <c:pt idx="0">
                  <c:v>Allemagne </c:v>
                </c:pt>
              </c:strCache>
            </c:strRef>
          </c:tx>
          <c:invertIfNegative val="0"/>
          <c:dLbls>
            <c:spPr>
              <a:noFill/>
              <a:ln>
                <a:noFill/>
              </a:ln>
              <a:effectLst/>
            </c:spPr>
            <c:txPr>
              <a:bodyPr/>
              <a:lstStyle/>
              <a:p>
                <a:pPr>
                  <a:defRPr sz="8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'D_Ch7-1'!$C$196:$Q$196</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'D_Ch7-1'!$C$197:$Q$197</c:f>
              <c:numCache>
                <c:formatCode>0%</c:formatCode>
                <c:ptCount val="15"/>
                <c:pt idx="0">
                  <c:v>7.7268848979252069E-2</c:v>
                </c:pt>
                <c:pt idx="1">
                  <c:v>9.2663407393065167E-2</c:v>
                </c:pt>
                <c:pt idx="2">
                  <c:v>0.27764962194027937</c:v>
                </c:pt>
                <c:pt idx="3">
                  <c:v>0.1092055817515977</c:v>
                </c:pt>
                <c:pt idx="4">
                  <c:v>6.8516592887489236E-2</c:v>
                </c:pt>
                <c:pt idx="5">
                  <c:v>7.0315988547713482E-2</c:v>
                </c:pt>
                <c:pt idx="6">
                  <c:v>0.14531541176004123</c:v>
                </c:pt>
                <c:pt idx="7">
                  <c:v>7.9484605087014729E-2</c:v>
                </c:pt>
                <c:pt idx="8">
                  <c:v>8.0800969924517976E-2</c:v>
                </c:pt>
                <c:pt idx="9">
                  <c:v>6.7611794735638414E-2</c:v>
                </c:pt>
                <c:pt idx="10">
                  <c:v>0.11371421821474978</c:v>
                </c:pt>
                <c:pt idx="11">
                  <c:v>9.0385124392531949E-2</c:v>
                </c:pt>
                <c:pt idx="12">
                  <c:v>7.8288651392345948E-2</c:v>
                </c:pt>
                <c:pt idx="13">
                  <c:v>9.6569703919256608E-2</c:v>
                </c:pt>
                <c:pt idx="14">
                  <c:v>7.3653142606720789E-2</c:v>
                </c:pt>
              </c:numCache>
            </c:numRef>
          </c:val>
          <c:extLst>
            <c:ext xmlns:c16="http://schemas.microsoft.com/office/drawing/2014/chart" uri="{C3380CC4-5D6E-409C-BE32-E72D297353CC}">
              <c16:uniqueId val="{00000000-A3BD-4C1B-B19F-58130696253A}"/>
            </c:ext>
          </c:extLst>
        </c:ser>
        <c:ser>
          <c:idx val="1"/>
          <c:order val="1"/>
          <c:tx>
            <c:strRef>
              <c:f>'D_Ch7-1'!$B$198</c:f>
              <c:strCache>
                <c:ptCount val="1"/>
                <c:pt idx="0">
                  <c:v>Belgique </c:v>
                </c:pt>
              </c:strCache>
            </c:strRef>
          </c:tx>
          <c:invertIfNegative val="0"/>
          <c:dLbls>
            <c:spPr>
              <a:noFill/>
              <a:ln>
                <a:noFill/>
              </a:ln>
              <a:effectLst/>
            </c:spPr>
            <c:txPr>
              <a:bodyPr/>
              <a:lstStyle/>
              <a:p>
                <a:pPr>
                  <a:defRPr sz="8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'D_Ch7-1'!$C$196:$Q$196</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'D_Ch7-1'!$C$198:$Q$198</c:f>
              <c:numCache>
                <c:formatCode>0%</c:formatCode>
                <c:ptCount val="15"/>
                <c:pt idx="0">
                  <c:v>0.16108602307174716</c:v>
                </c:pt>
                <c:pt idx="1">
                  <c:v>7.3793504041821972E-2</c:v>
                </c:pt>
                <c:pt idx="2">
                  <c:v>0.12386261694220171</c:v>
                </c:pt>
                <c:pt idx="3">
                  <c:v>9.6268460231216643E-2</c:v>
                </c:pt>
                <c:pt idx="4">
                  <c:v>5.4107370985471942E-2</c:v>
                </c:pt>
                <c:pt idx="5">
                  <c:v>9.5426965406740033E-2</c:v>
                </c:pt>
                <c:pt idx="6">
                  <c:v>0.11715105137253347</c:v>
                </c:pt>
                <c:pt idx="7">
                  <c:v>0.11423471664435519</c:v>
                </c:pt>
                <c:pt idx="8">
                  <c:v>0.12237475067464508</c:v>
                </c:pt>
                <c:pt idx="9">
                  <c:v>6.9751608146012029E-2</c:v>
                </c:pt>
                <c:pt idx="10">
                  <c:v>0.13619718864432806</c:v>
                </c:pt>
                <c:pt idx="11">
                  <c:v>8.1747779444307403E-2</c:v>
                </c:pt>
                <c:pt idx="12">
                  <c:v>8.4343490609085539E-2</c:v>
                </c:pt>
                <c:pt idx="13">
                  <c:v>8.5568092080353958E-2</c:v>
                </c:pt>
                <c:pt idx="14">
                  <c:v>7.2294845006379879E-2</c:v>
                </c:pt>
              </c:numCache>
            </c:numRef>
          </c:val>
          <c:extLst>
            <c:ext xmlns:c16="http://schemas.microsoft.com/office/drawing/2014/chart" uri="{C3380CC4-5D6E-409C-BE32-E72D297353CC}">
              <c16:uniqueId val="{00000001-A3BD-4C1B-B19F-58130696253A}"/>
            </c:ext>
          </c:extLst>
        </c:ser>
        <c:ser>
          <c:idx val="2"/>
          <c:order val="2"/>
          <c:tx>
            <c:strRef>
              <c:f>'D_Ch7-1'!$B$199</c:f>
              <c:strCache>
                <c:ptCount val="1"/>
                <c:pt idx="0">
                  <c:v>Espagne </c:v>
                </c:pt>
              </c:strCache>
            </c:strRef>
          </c:tx>
          <c:invertIfNegative val="0"/>
          <c:dLbls>
            <c:spPr>
              <a:noFill/>
              <a:ln>
                <a:noFill/>
              </a:ln>
              <a:effectLst/>
            </c:spPr>
            <c:txPr>
              <a:bodyPr/>
              <a:lstStyle/>
              <a:p>
                <a:pPr>
                  <a:defRPr sz="8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'D_Ch7-1'!$C$196:$Q$196</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'D_Ch7-1'!$C$199:$Q$199</c:f>
              <c:numCache>
                <c:formatCode>0%</c:formatCode>
                <c:ptCount val="15"/>
                <c:pt idx="0">
                  <c:v>0.1129794185586748</c:v>
                </c:pt>
                <c:pt idx="1">
                  <c:v>0.14753860303015634</c:v>
                </c:pt>
                <c:pt idx="2">
                  <c:v>0.10861207227989235</c:v>
                </c:pt>
                <c:pt idx="3">
                  <c:v>0.15808181143636754</c:v>
                </c:pt>
                <c:pt idx="4">
                  <c:v>0.1863374827931113</c:v>
                </c:pt>
                <c:pt idx="5">
                  <c:v>9.9104305114128863E-2</c:v>
                </c:pt>
                <c:pt idx="6">
                  <c:v>0.19707122371568667</c:v>
                </c:pt>
                <c:pt idx="7">
                  <c:v>0.24793618920124944</c:v>
                </c:pt>
                <c:pt idx="8">
                  <c:v>0.21541710665258712</c:v>
                </c:pt>
                <c:pt idx="9">
                  <c:v>0.2025462202325404</c:v>
                </c:pt>
                <c:pt idx="10">
                  <c:v>0.21289916131826594</c:v>
                </c:pt>
                <c:pt idx="11">
                  <c:v>0.19248477166043368</c:v>
                </c:pt>
                <c:pt idx="12">
                  <c:v>0.16376833048205219</c:v>
                </c:pt>
                <c:pt idx="13">
                  <c:v>0.20212892547679059</c:v>
                </c:pt>
                <c:pt idx="14">
                  <c:v>0.20334756196476175</c:v>
                </c:pt>
              </c:numCache>
            </c:numRef>
          </c:val>
          <c:extLst>
            <c:ext xmlns:c16="http://schemas.microsoft.com/office/drawing/2014/chart" uri="{C3380CC4-5D6E-409C-BE32-E72D297353CC}">
              <c16:uniqueId val="{00000002-A3BD-4C1B-B19F-58130696253A}"/>
            </c:ext>
          </c:extLst>
        </c:ser>
        <c:ser>
          <c:idx val="3"/>
          <c:order val="3"/>
          <c:tx>
            <c:strRef>
              <c:f>'D_Ch7-1'!$B$200</c:f>
              <c:strCache>
                <c:ptCount val="1"/>
                <c:pt idx="0">
                  <c:v>Royaume-Uni </c:v>
                </c:pt>
              </c:strCache>
            </c:strRef>
          </c:tx>
          <c:invertIfNegative val="0"/>
          <c:dLbls>
            <c:spPr>
              <a:noFill/>
              <a:ln>
                <a:noFill/>
              </a:ln>
              <a:effectLst/>
            </c:spPr>
            <c:txPr>
              <a:bodyPr/>
              <a:lstStyle/>
              <a:p>
                <a:pPr>
                  <a:defRPr sz="8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'D_Ch7-1'!$C$196:$Q$196</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'D_Ch7-1'!$C$200:$Q$200</c:f>
              <c:numCache>
                <c:formatCode>0%</c:formatCode>
                <c:ptCount val="15"/>
                <c:pt idx="0">
                  <c:v>0.2017286468413349</c:v>
                </c:pt>
                <c:pt idx="1">
                  <c:v>0.24856801716765897</c:v>
                </c:pt>
                <c:pt idx="2">
                  <c:v>0.12136357811098296</c:v>
                </c:pt>
                <c:pt idx="3">
                  <c:v>0.18832427774719357</c:v>
                </c:pt>
                <c:pt idx="4">
                  <c:v>0.15958683660635589</c:v>
                </c:pt>
                <c:pt idx="5">
                  <c:v>0.19580520606235718</c:v>
                </c:pt>
                <c:pt idx="6">
                  <c:v>0.13250862376590936</c:v>
                </c:pt>
                <c:pt idx="7">
                  <c:v>0.11479250334672021</c:v>
                </c:pt>
                <c:pt idx="8">
                  <c:v>0.14239899878759435</c:v>
                </c:pt>
                <c:pt idx="9">
                  <c:v>0.22320041429311238</c:v>
                </c:pt>
                <c:pt idx="10">
                  <c:v>0.14545025002953105</c:v>
                </c:pt>
                <c:pt idx="11">
                  <c:v>0.2027282270305503</c:v>
                </c:pt>
                <c:pt idx="12">
                  <c:v>0.1758093339905778</c:v>
                </c:pt>
                <c:pt idx="13">
                  <c:v>0.15693252993801451</c:v>
                </c:pt>
                <c:pt idx="14">
                  <c:v>0.2164947205562967</c:v>
                </c:pt>
              </c:numCache>
            </c:numRef>
          </c:val>
          <c:extLst>
            <c:ext xmlns:c16="http://schemas.microsoft.com/office/drawing/2014/chart" uri="{C3380CC4-5D6E-409C-BE32-E72D297353CC}">
              <c16:uniqueId val="{00000003-A3BD-4C1B-B19F-58130696253A}"/>
            </c:ext>
          </c:extLst>
        </c:ser>
        <c:ser>
          <c:idx val="4"/>
          <c:order val="4"/>
          <c:tx>
            <c:strRef>
              <c:f>'D_Ch7-1'!$B$201</c:f>
              <c:strCache>
                <c:ptCount val="1"/>
                <c:pt idx="0">
                  <c:v>Suisse </c:v>
                </c:pt>
              </c:strCache>
            </c:strRef>
          </c:tx>
          <c:invertIfNegative val="0"/>
          <c:dLbls>
            <c:spPr>
              <a:noFill/>
              <a:ln>
                <a:noFill/>
              </a:ln>
              <a:effectLst/>
            </c:spPr>
            <c:txPr>
              <a:bodyPr/>
              <a:lstStyle/>
              <a:p>
                <a:pPr>
                  <a:defRPr sz="8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'D_Ch7-1'!$C$196:$Q$196</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'D_Ch7-1'!$C$201:$Q$201</c:f>
              <c:numCache>
                <c:formatCode>0%</c:formatCode>
                <c:ptCount val="15"/>
                <c:pt idx="0">
                  <c:v>4.5318016911882017E-2</c:v>
                </c:pt>
                <c:pt idx="1">
                  <c:v>5.9118705326169384E-2</c:v>
                </c:pt>
                <c:pt idx="2">
                  <c:v>0.11348199410483148</c:v>
                </c:pt>
                <c:pt idx="3">
                  <c:v>8.7484142751142913E-2</c:v>
                </c:pt>
                <c:pt idx="4">
                  <c:v>5.3782544539845704E-2</c:v>
                </c:pt>
                <c:pt idx="5">
                  <c:v>5.7563499776732946E-2</c:v>
                </c:pt>
                <c:pt idx="6">
                  <c:v>8.7704690535664723E-2</c:v>
                </c:pt>
                <c:pt idx="7">
                  <c:v>5.9460062472110664E-2</c:v>
                </c:pt>
                <c:pt idx="8">
                  <c:v>4.8144237162188588E-2</c:v>
                </c:pt>
                <c:pt idx="9">
                  <c:v>7.554277392371854E-2</c:v>
                </c:pt>
                <c:pt idx="10">
                  <c:v>8.7805646336181445E-2</c:v>
                </c:pt>
                <c:pt idx="11">
                  <c:v>8.0078648994650503E-2</c:v>
                </c:pt>
                <c:pt idx="12">
                  <c:v>5.4862871435962156E-2</c:v>
                </c:pt>
                <c:pt idx="13">
                  <c:v>5.6630715807920728E-2</c:v>
                </c:pt>
                <c:pt idx="14">
                  <c:v>7.6183304803434243E-2</c:v>
                </c:pt>
              </c:numCache>
            </c:numRef>
          </c:val>
          <c:extLst>
            <c:ext xmlns:c16="http://schemas.microsoft.com/office/drawing/2014/chart" uri="{C3380CC4-5D6E-409C-BE32-E72D297353CC}">
              <c16:uniqueId val="{00000004-A3BD-4C1B-B19F-58130696253A}"/>
            </c:ext>
          </c:extLst>
        </c:ser>
        <c:ser>
          <c:idx val="5"/>
          <c:order val="5"/>
          <c:tx>
            <c:strRef>
              <c:f>'D_Ch7-1'!$B$202</c:f>
              <c:strCache>
                <c:ptCount val="1"/>
                <c:pt idx="0">
                  <c:v>Autres europe</c:v>
                </c:pt>
              </c:strCache>
            </c:strRef>
          </c:tx>
          <c:invertIfNegative val="0"/>
          <c:dLbls>
            <c:spPr>
              <a:noFill/>
              <a:ln>
                <a:noFill/>
              </a:ln>
              <a:effectLst/>
            </c:spPr>
            <c:txPr>
              <a:bodyPr/>
              <a:lstStyle/>
              <a:p>
                <a:pPr>
                  <a:defRPr sz="8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'D_Ch7-1'!$C$196:$Q$196</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'D_Ch7-1'!$C$202:$Q$202</c:f>
              <c:numCache>
                <c:formatCode>0%</c:formatCode>
                <c:ptCount val="15"/>
                <c:pt idx="0">
                  <c:v>0.16807136564487823</c:v>
                </c:pt>
                <c:pt idx="1">
                  <c:v>0.17817900188779709</c:v>
                </c:pt>
                <c:pt idx="2">
                  <c:v>0.16737152377290784</c:v>
                </c:pt>
                <c:pt idx="3">
                  <c:v>0.24603269585198306</c:v>
                </c:pt>
                <c:pt idx="4">
                  <c:v>0.19653386414728105</c:v>
                </c:pt>
                <c:pt idx="5">
                  <c:v>0.20539255601376374</c:v>
                </c:pt>
                <c:pt idx="6">
                  <c:v>0.22132350025772174</c:v>
                </c:pt>
                <c:pt idx="7">
                  <c:v>0.25518741633199465</c:v>
                </c:pt>
                <c:pt idx="8">
                  <c:v>0.30247565411240174</c:v>
                </c:pt>
                <c:pt idx="9">
                  <c:v>0.22919399485288125</c:v>
                </c:pt>
                <c:pt idx="10">
                  <c:v>0.19183368114344213</c:v>
                </c:pt>
                <c:pt idx="11">
                  <c:v>0.22906159577513735</c:v>
                </c:pt>
                <c:pt idx="12">
                  <c:v>0.2091838214085685</c:v>
                </c:pt>
                <c:pt idx="13">
                  <c:v>0.22862149911835658</c:v>
                </c:pt>
                <c:pt idx="14">
                  <c:v>0.22436606725631147</c:v>
                </c:pt>
              </c:numCache>
            </c:numRef>
          </c:val>
          <c:extLst>
            <c:ext xmlns:c16="http://schemas.microsoft.com/office/drawing/2014/chart" uri="{C3380CC4-5D6E-409C-BE32-E72D297353CC}">
              <c16:uniqueId val="{00000005-A3BD-4C1B-B19F-58130696253A}"/>
            </c:ext>
          </c:extLst>
        </c:ser>
        <c:ser>
          <c:idx val="6"/>
          <c:order val="6"/>
          <c:tx>
            <c:strRef>
              <c:f>'D_Ch7-1'!$B$203</c:f>
              <c:strCache>
                <c:ptCount val="1"/>
                <c:pt idx="0">
                  <c:v>Amériques</c:v>
                </c:pt>
              </c:strCache>
            </c:strRef>
          </c:tx>
          <c:invertIfNegative val="0"/>
          <c:dLbls>
            <c:spPr>
              <a:noFill/>
              <a:ln>
                <a:noFill/>
              </a:ln>
              <a:effectLst/>
            </c:spPr>
            <c:txPr>
              <a:bodyPr/>
              <a:lstStyle/>
              <a:p>
                <a:pPr>
                  <a:defRPr sz="8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'D_Ch7-1'!$C$196:$Q$196</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'D_Ch7-1'!$C$203:$Q$203</c:f>
              <c:numCache>
                <c:formatCode>0%</c:formatCode>
                <c:ptCount val="15"/>
                <c:pt idx="0">
                  <c:v>0.15588343426355622</c:v>
                </c:pt>
                <c:pt idx="1">
                  <c:v>0.14213337205737611</c:v>
                </c:pt>
                <c:pt idx="2">
                  <c:v>4.3829296424452137E-2</c:v>
                </c:pt>
                <c:pt idx="3">
                  <c:v>7.6928600493070681E-2</c:v>
                </c:pt>
                <c:pt idx="4">
                  <c:v>0.1507907741366846</c:v>
                </c:pt>
                <c:pt idx="5">
                  <c:v>0.1995613459063329</c:v>
                </c:pt>
                <c:pt idx="6">
                  <c:v>6.1892867055231754E-2</c:v>
                </c:pt>
                <c:pt idx="7">
                  <c:v>6.7659526996876398E-2</c:v>
                </c:pt>
                <c:pt idx="8">
                  <c:v>5.2876530173256678E-2</c:v>
                </c:pt>
                <c:pt idx="9">
                  <c:v>8.4909057930059123E-2</c:v>
                </c:pt>
                <c:pt idx="10">
                  <c:v>6.7921408040319722E-2</c:v>
                </c:pt>
                <c:pt idx="11">
                  <c:v>7.9351217817022243E-2</c:v>
                </c:pt>
                <c:pt idx="12">
                  <c:v>0.14034941801816375</c:v>
                </c:pt>
                <c:pt idx="13">
                  <c:v>0.11239601475535747</c:v>
                </c:pt>
                <c:pt idx="14">
                  <c:v>8.6042463143163592E-2</c:v>
                </c:pt>
              </c:numCache>
            </c:numRef>
          </c:val>
          <c:extLst>
            <c:ext xmlns:c16="http://schemas.microsoft.com/office/drawing/2014/chart" uri="{C3380CC4-5D6E-409C-BE32-E72D297353CC}">
              <c16:uniqueId val="{00000006-A3BD-4C1B-B19F-58130696253A}"/>
            </c:ext>
          </c:extLst>
        </c:ser>
        <c:ser>
          <c:idx val="7"/>
          <c:order val="7"/>
          <c:tx>
            <c:strRef>
              <c:f>'D_Ch7-1'!$B$204</c:f>
              <c:strCache>
                <c:ptCount val="1"/>
                <c:pt idx="0">
                  <c:v>Asie/Océanie/Australie/Afrique</c:v>
                </c:pt>
              </c:strCache>
            </c:strRef>
          </c:tx>
          <c:invertIfNegative val="0"/>
          <c:dLbls>
            <c:spPr>
              <a:noFill/>
              <a:ln>
                <a:noFill/>
              </a:ln>
              <a:effectLst/>
            </c:spPr>
            <c:txPr>
              <a:bodyPr/>
              <a:lstStyle/>
              <a:p>
                <a:pPr>
                  <a:defRPr sz="8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'D_Ch7-1'!$C$196:$Q$196</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'D_Ch7-1'!$C$204:$Q$204</c:f>
              <c:numCache>
                <c:formatCode>0%</c:formatCode>
                <c:ptCount val="15"/>
                <c:pt idx="0">
                  <c:v>7.7664245728674586E-2</c:v>
                </c:pt>
                <c:pt idx="1">
                  <c:v>5.800538909595495E-2</c:v>
                </c:pt>
                <c:pt idx="2">
                  <c:v>4.3829296424452137E-2</c:v>
                </c:pt>
                <c:pt idx="3">
                  <c:v>3.7674429737427892E-2</c:v>
                </c:pt>
                <c:pt idx="4">
                  <c:v>0.13034453390376027</c:v>
                </c:pt>
                <c:pt idx="5">
                  <c:v>7.6830133172230836E-2</c:v>
                </c:pt>
                <c:pt idx="6">
                  <c:v>3.7032631537211057E-2</c:v>
                </c:pt>
                <c:pt idx="7">
                  <c:v>6.1244979919678713E-2</c:v>
                </c:pt>
                <c:pt idx="8">
                  <c:v>3.5511752512808477E-2</c:v>
                </c:pt>
                <c:pt idx="9">
                  <c:v>4.7244135886037847E-2</c:v>
                </c:pt>
                <c:pt idx="10">
                  <c:v>4.4178446273181869E-2</c:v>
                </c:pt>
                <c:pt idx="11">
                  <c:v>4.4162634885366571E-2</c:v>
                </c:pt>
                <c:pt idx="12">
                  <c:v>9.3394082663244116E-2</c:v>
                </c:pt>
                <c:pt idx="13">
                  <c:v>6.1152518903949543E-2</c:v>
                </c:pt>
                <c:pt idx="14">
                  <c:v>4.7617894662931551E-2</c:v>
                </c:pt>
              </c:numCache>
            </c:numRef>
          </c:val>
          <c:extLst>
            <c:ext xmlns:c16="http://schemas.microsoft.com/office/drawing/2014/chart" uri="{C3380CC4-5D6E-409C-BE32-E72D297353CC}">
              <c16:uniqueId val="{00000007-A3BD-4C1B-B19F-58130696253A}"/>
            </c:ext>
          </c:extLst>
        </c:ser>
        <c:dLbls>
          <c:showLegendKey val="0"/>
          <c:showVal val="0"/>
          <c:showCatName val="0"/>
          <c:showSerName val="0"/>
          <c:showPercent val="0"/>
          <c:showBubbleSize val="0"/>
        </c:dLbls>
        <c:gapWidth val="150"/>
        <c:overlap val="100"/>
        <c:axId val="340313984"/>
        <c:axId val="340315520"/>
      </c:barChart>
      <c:catAx>
        <c:axId val="340313984"/>
        <c:scaling>
          <c:orientation val="minMax"/>
        </c:scaling>
        <c:delete val="0"/>
        <c:axPos val="l"/>
        <c:numFmt formatCode="General" sourceLinked="1"/>
        <c:majorTickMark val="out"/>
        <c:minorTickMark val="none"/>
        <c:tickLblPos val="nextTo"/>
        <c:txPr>
          <a:bodyPr/>
          <a:lstStyle/>
          <a:p>
            <a:pPr>
              <a:defRPr sz="800"/>
            </a:pPr>
            <a:endParaRPr lang="fr-FR"/>
          </a:p>
        </c:txPr>
        <c:crossAx val="340315520"/>
        <c:crosses val="autoZero"/>
        <c:auto val="1"/>
        <c:lblAlgn val="ctr"/>
        <c:lblOffset val="100"/>
        <c:noMultiLvlLbl val="0"/>
      </c:catAx>
      <c:valAx>
        <c:axId val="340315520"/>
        <c:scaling>
          <c:orientation val="minMax"/>
        </c:scaling>
        <c:delete val="0"/>
        <c:axPos val="b"/>
        <c:majorGridlines/>
        <c:numFmt formatCode="0%" sourceLinked="1"/>
        <c:majorTickMark val="out"/>
        <c:minorTickMark val="none"/>
        <c:tickLblPos val="nextTo"/>
        <c:txPr>
          <a:bodyPr/>
          <a:lstStyle/>
          <a:p>
            <a:pPr>
              <a:defRPr sz="900"/>
            </a:pPr>
            <a:endParaRPr lang="fr-FR"/>
          </a:p>
        </c:txPr>
        <c:crossAx val="340313984"/>
        <c:crosses val="autoZero"/>
        <c:crossBetween val="between"/>
      </c:valAx>
    </c:plotArea>
    <c:legend>
      <c:legendPos val="b"/>
      <c:layout>
        <c:manualLayout>
          <c:xMode val="edge"/>
          <c:yMode val="edge"/>
          <c:x val="7.7717323961114301E-3"/>
          <c:y val="0.94615142413265485"/>
          <c:w val="0.98445638501195953"/>
          <c:h val="3.8937114139020616E-2"/>
        </c:manualLayout>
      </c:layout>
      <c:overlay val="0"/>
      <c:txPr>
        <a:bodyPr/>
        <a:lstStyle/>
        <a:p>
          <a:pPr>
            <a:defRPr sz="9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787735447961533E-2"/>
          <c:y val="6.2101083274169314E-2"/>
          <c:w val="0.68449077279651316"/>
          <c:h val="0.797774434447731"/>
        </c:manualLayout>
      </c:layout>
      <c:lineChart>
        <c:grouping val="standard"/>
        <c:varyColors val="0"/>
        <c:ser>
          <c:idx val="0"/>
          <c:order val="0"/>
          <c:tx>
            <c:strRef>
              <c:f>'D_Ch7-1'!$O$95</c:f>
              <c:strCache>
                <c:ptCount val="1"/>
                <c:pt idx="0">
                  <c:v>Auvergne-Rhône-Alpes</c:v>
                </c:pt>
              </c:strCache>
            </c:strRef>
          </c:tx>
          <c:marker>
            <c:symbol val="none"/>
          </c:marker>
          <c:cat>
            <c:numRef>
              <c:f>'D_Ch7-1'!$P$82:$T$82</c:f>
              <c:numCache>
                <c:formatCode>General</c:formatCode>
                <c:ptCount val="5"/>
                <c:pt idx="0">
                  <c:v>2012</c:v>
                </c:pt>
                <c:pt idx="1">
                  <c:v>2013</c:v>
                </c:pt>
                <c:pt idx="2">
                  <c:v>2014</c:v>
                </c:pt>
                <c:pt idx="3">
                  <c:v>2015</c:v>
                </c:pt>
                <c:pt idx="4">
                  <c:v>2016</c:v>
                </c:pt>
              </c:numCache>
            </c:numRef>
          </c:cat>
          <c:val>
            <c:numRef>
              <c:f>'D_Ch7-1'!$P$95:$T$95</c:f>
              <c:numCache>
                <c:formatCode>0</c:formatCode>
                <c:ptCount val="5"/>
                <c:pt idx="0" formatCode="#,##0">
                  <c:v>100</c:v>
                </c:pt>
                <c:pt idx="1">
                  <c:v>102.62851011906129</c:v>
                </c:pt>
                <c:pt idx="2">
                  <c:v>97.500131749813164</c:v>
                </c:pt>
                <c:pt idx="3">
                  <c:v>102.11038427254057</c:v>
                </c:pt>
                <c:pt idx="4">
                  <c:v>106.67717061758457</c:v>
                </c:pt>
              </c:numCache>
            </c:numRef>
          </c:val>
          <c:smooth val="0"/>
          <c:extLst>
            <c:ext xmlns:c16="http://schemas.microsoft.com/office/drawing/2014/chart" uri="{C3380CC4-5D6E-409C-BE32-E72D297353CC}">
              <c16:uniqueId val="{00000000-15A2-468D-B17B-D7CB137021F5}"/>
            </c:ext>
          </c:extLst>
        </c:ser>
        <c:ser>
          <c:idx val="1"/>
          <c:order val="1"/>
          <c:tx>
            <c:strRef>
              <c:f>'D_Ch7-1'!$O$96</c:f>
              <c:strCache>
                <c:ptCount val="1"/>
                <c:pt idx="0">
                  <c:v>Bretagne</c:v>
                </c:pt>
              </c:strCache>
            </c:strRef>
          </c:tx>
          <c:spPr>
            <a:ln>
              <a:solidFill>
                <a:srgbClr val="00B050"/>
              </a:solidFill>
            </a:ln>
          </c:spPr>
          <c:marker>
            <c:symbol val="none"/>
          </c:marker>
          <c:cat>
            <c:numRef>
              <c:f>'D_Ch7-1'!$P$82:$T$82</c:f>
              <c:numCache>
                <c:formatCode>General</c:formatCode>
                <c:ptCount val="5"/>
                <c:pt idx="0">
                  <c:v>2012</c:v>
                </c:pt>
                <c:pt idx="1">
                  <c:v>2013</c:v>
                </c:pt>
                <c:pt idx="2">
                  <c:v>2014</c:v>
                </c:pt>
                <c:pt idx="3">
                  <c:v>2015</c:v>
                </c:pt>
                <c:pt idx="4">
                  <c:v>2016</c:v>
                </c:pt>
              </c:numCache>
            </c:numRef>
          </c:cat>
          <c:val>
            <c:numRef>
              <c:f>'D_Ch7-1'!$P$96:$T$96</c:f>
              <c:numCache>
                <c:formatCode>0</c:formatCode>
                <c:ptCount val="5"/>
                <c:pt idx="0" formatCode="#,##0">
                  <c:v>100</c:v>
                </c:pt>
                <c:pt idx="1">
                  <c:v>99.537723518490338</c:v>
                </c:pt>
                <c:pt idx="2">
                  <c:v>99.523355842692112</c:v>
                </c:pt>
                <c:pt idx="3">
                  <c:v>104.62639160704548</c:v>
                </c:pt>
                <c:pt idx="4">
                  <c:v>106.78251942077345</c:v>
                </c:pt>
              </c:numCache>
            </c:numRef>
          </c:val>
          <c:smooth val="0"/>
          <c:extLst>
            <c:ext xmlns:c16="http://schemas.microsoft.com/office/drawing/2014/chart" uri="{C3380CC4-5D6E-409C-BE32-E72D297353CC}">
              <c16:uniqueId val="{00000001-15A2-468D-B17B-D7CB137021F5}"/>
            </c:ext>
          </c:extLst>
        </c:ser>
        <c:ser>
          <c:idx val="6"/>
          <c:order val="2"/>
          <c:tx>
            <c:strRef>
              <c:f>'D_Ch7-1'!$O$97</c:f>
              <c:strCache>
                <c:ptCount val="1"/>
                <c:pt idx="0">
                  <c:v>Grand-Est</c:v>
                </c:pt>
              </c:strCache>
            </c:strRef>
          </c:tx>
          <c:spPr>
            <a:ln>
              <a:solidFill>
                <a:srgbClr val="FF0000"/>
              </a:solidFill>
              <a:prstDash val="dash"/>
            </a:ln>
          </c:spPr>
          <c:marker>
            <c:symbol val="none"/>
          </c:marker>
          <c:cat>
            <c:numRef>
              <c:f>'D_Ch7-1'!$P$82:$T$82</c:f>
              <c:numCache>
                <c:formatCode>General</c:formatCode>
                <c:ptCount val="5"/>
                <c:pt idx="0">
                  <c:v>2012</c:v>
                </c:pt>
                <c:pt idx="1">
                  <c:v>2013</c:v>
                </c:pt>
                <c:pt idx="2">
                  <c:v>2014</c:v>
                </c:pt>
                <c:pt idx="3">
                  <c:v>2015</c:v>
                </c:pt>
                <c:pt idx="4">
                  <c:v>2016</c:v>
                </c:pt>
              </c:numCache>
            </c:numRef>
          </c:cat>
          <c:val>
            <c:numRef>
              <c:f>'D_Ch7-1'!$P$97:$T$97</c:f>
              <c:numCache>
                <c:formatCode>0</c:formatCode>
                <c:ptCount val="5"/>
                <c:pt idx="0" formatCode="#,##0">
                  <c:v>100</c:v>
                </c:pt>
                <c:pt idx="1">
                  <c:v>102.85452970800534</c:v>
                </c:pt>
                <c:pt idx="2">
                  <c:v>102.93420103680602</c:v>
                </c:pt>
                <c:pt idx="3">
                  <c:v>103.20280282810101</c:v>
                </c:pt>
                <c:pt idx="4">
                  <c:v>105.25799949454169</c:v>
                </c:pt>
              </c:numCache>
            </c:numRef>
          </c:val>
          <c:smooth val="0"/>
          <c:extLst>
            <c:ext xmlns:c16="http://schemas.microsoft.com/office/drawing/2014/chart" uri="{C3380CC4-5D6E-409C-BE32-E72D297353CC}">
              <c16:uniqueId val="{00000002-15A2-468D-B17B-D7CB137021F5}"/>
            </c:ext>
          </c:extLst>
        </c:ser>
        <c:ser>
          <c:idx val="8"/>
          <c:order val="3"/>
          <c:tx>
            <c:strRef>
              <c:f>'D_Ch7-1'!$O$98</c:f>
              <c:strCache>
                <c:ptCount val="1"/>
                <c:pt idx="0">
                  <c:v>Hauts-de-France</c:v>
                </c:pt>
              </c:strCache>
            </c:strRef>
          </c:tx>
          <c:marker>
            <c:symbol val="none"/>
          </c:marker>
          <c:cat>
            <c:numRef>
              <c:f>'D_Ch7-1'!$P$82:$T$82</c:f>
              <c:numCache>
                <c:formatCode>General</c:formatCode>
                <c:ptCount val="5"/>
                <c:pt idx="0">
                  <c:v>2012</c:v>
                </c:pt>
                <c:pt idx="1">
                  <c:v>2013</c:v>
                </c:pt>
                <c:pt idx="2">
                  <c:v>2014</c:v>
                </c:pt>
                <c:pt idx="3">
                  <c:v>2015</c:v>
                </c:pt>
                <c:pt idx="4">
                  <c:v>2016</c:v>
                </c:pt>
              </c:numCache>
            </c:numRef>
          </c:cat>
          <c:val>
            <c:numRef>
              <c:f>'D_Ch7-1'!$P$98:$T$98</c:f>
              <c:numCache>
                <c:formatCode>0</c:formatCode>
                <c:ptCount val="5"/>
                <c:pt idx="0" formatCode="#,##0">
                  <c:v>100</c:v>
                </c:pt>
                <c:pt idx="1">
                  <c:v>100.49274212175231</c:v>
                </c:pt>
                <c:pt idx="2">
                  <c:v>102.9173650141249</c:v>
                </c:pt>
                <c:pt idx="3">
                  <c:v>105.62164275011699</c:v>
                </c:pt>
                <c:pt idx="4">
                  <c:v>107.98218547713667</c:v>
                </c:pt>
              </c:numCache>
            </c:numRef>
          </c:val>
          <c:smooth val="0"/>
          <c:extLst>
            <c:ext xmlns:c16="http://schemas.microsoft.com/office/drawing/2014/chart" uri="{C3380CC4-5D6E-409C-BE32-E72D297353CC}">
              <c16:uniqueId val="{00000003-15A2-468D-B17B-D7CB137021F5}"/>
            </c:ext>
          </c:extLst>
        </c:ser>
        <c:ser>
          <c:idx val="9"/>
          <c:order val="4"/>
          <c:tx>
            <c:strRef>
              <c:f>'D_Ch7-1'!$O$99</c:f>
              <c:strCache>
                <c:ptCount val="1"/>
                <c:pt idx="0">
                  <c:v>Normandie</c:v>
                </c:pt>
              </c:strCache>
            </c:strRef>
          </c:tx>
          <c:marker>
            <c:symbol val="none"/>
          </c:marker>
          <c:cat>
            <c:numRef>
              <c:f>'D_Ch7-1'!$P$82:$T$82</c:f>
              <c:numCache>
                <c:formatCode>General</c:formatCode>
                <c:ptCount val="5"/>
                <c:pt idx="0">
                  <c:v>2012</c:v>
                </c:pt>
                <c:pt idx="1">
                  <c:v>2013</c:v>
                </c:pt>
                <c:pt idx="2">
                  <c:v>2014</c:v>
                </c:pt>
                <c:pt idx="3">
                  <c:v>2015</c:v>
                </c:pt>
                <c:pt idx="4">
                  <c:v>2016</c:v>
                </c:pt>
              </c:numCache>
            </c:numRef>
          </c:cat>
          <c:val>
            <c:numRef>
              <c:f>'D_Ch7-1'!$P$99:$T$99</c:f>
              <c:numCache>
                <c:formatCode>0</c:formatCode>
                <c:ptCount val="5"/>
                <c:pt idx="0" formatCode="#,##0">
                  <c:v>100</c:v>
                </c:pt>
                <c:pt idx="1">
                  <c:v>99.087370822708365</c:v>
                </c:pt>
                <c:pt idx="2">
                  <c:v>99.852500388156869</c:v>
                </c:pt>
                <c:pt idx="3">
                  <c:v>98.878687161349575</c:v>
                </c:pt>
                <c:pt idx="4">
                  <c:v>99.761184838987276</c:v>
                </c:pt>
              </c:numCache>
            </c:numRef>
          </c:val>
          <c:smooth val="0"/>
          <c:extLst>
            <c:ext xmlns:c16="http://schemas.microsoft.com/office/drawing/2014/chart" uri="{C3380CC4-5D6E-409C-BE32-E72D297353CC}">
              <c16:uniqueId val="{00000004-15A2-468D-B17B-D7CB137021F5}"/>
            </c:ext>
          </c:extLst>
        </c:ser>
        <c:ser>
          <c:idx val="2"/>
          <c:order val="5"/>
          <c:tx>
            <c:strRef>
              <c:f>'D_Ch7-1'!$O$100</c:f>
              <c:strCache>
                <c:ptCount val="1"/>
                <c:pt idx="0">
                  <c:v>Nouvelle-Aquitaine</c:v>
                </c:pt>
              </c:strCache>
            </c:strRef>
          </c:tx>
          <c:spPr>
            <a:ln>
              <a:solidFill>
                <a:srgbClr val="FFFF00"/>
              </a:solidFill>
            </a:ln>
          </c:spPr>
          <c:marker>
            <c:symbol val="none"/>
          </c:marker>
          <c:cat>
            <c:numRef>
              <c:f>'D_Ch7-1'!$P$82:$T$82</c:f>
              <c:numCache>
                <c:formatCode>General</c:formatCode>
                <c:ptCount val="5"/>
                <c:pt idx="0">
                  <c:v>2012</c:v>
                </c:pt>
                <c:pt idx="1">
                  <c:v>2013</c:v>
                </c:pt>
                <c:pt idx="2">
                  <c:v>2014</c:v>
                </c:pt>
                <c:pt idx="3">
                  <c:v>2015</c:v>
                </c:pt>
                <c:pt idx="4">
                  <c:v>2016</c:v>
                </c:pt>
              </c:numCache>
            </c:numRef>
          </c:cat>
          <c:val>
            <c:numRef>
              <c:f>'D_Ch7-1'!$P$100:$T$100</c:f>
              <c:numCache>
                <c:formatCode>0</c:formatCode>
                <c:ptCount val="5"/>
                <c:pt idx="0" formatCode="#,##0">
                  <c:v>100</c:v>
                </c:pt>
                <c:pt idx="1">
                  <c:v>100.92129147849165</c:v>
                </c:pt>
                <c:pt idx="2">
                  <c:v>98.894288572092506</c:v>
                </c:pt>
                <c:pt idx="3">
                  <c:v>104.04390245545262</c:v>
                </c:pt>
                <c:pt idx="4">
                  <c:v>107.14980921493549</c:v>
                </c:pt>
              </c:numCache>
            </c:numRef>
          </c:val>
          <c:smooth val="0"/>
          <c:extLst>
            <c:ext xmlns:c16="http://schemas.microsoft.com/office/drawing/2014/chart" uri="{C3380CC4-5D6E-409C-BE32-E72D297353CC}">
              <c16:uniqueId val="{00000005-15A2-468D-B17B-D7CB137021F5}"/>
            </c:ext>
          </c:extLst>
        </c:ser>
        <c:ser>
          <c:idx val="3"/>
          <c:order val="6"/>
          <c:tx>
            <c:strRef>
              <c:f>'D_Ch7-1'!$O$101</c:f>
              <c:strCache>
                <c:ptCount val="1"/>
                <c:pt idx="0">
                  <c:v>Occitanie</c:v>
                </c:pt>
              </c:strCache>
            </c:strRef>
          </c:tx>
          <c:marker>
            <c:symbol val="none"/>
          </c:marker>
          <c:cat>
            <c:numRef>
              <c:f>'D_Ch7-1'!$P$82:$T$82</c:f>
              <c:numCache>
                <c:formatCode>General</c:formatCode>
                <c:ptCount val="5"/>
                <c:pt idx="0">
                  <c:v>2012</c:v>
                </c:pt>
                <c:pt idx="1">
                  <c:v>2013</c:v>
                </c:pt>
                <c:pt idx="2">
                  <c:v>2014</c:v>
                </c:pt>
                <c:pt idx="3">
                  <c:v>2015</c:v>
                </c:pt>
                <c:pt idx="4">
                  <c:v>2016</c:v>
                </c:pt>
              </c:numCache>
            </c:numRef>
          </c:cat>
          <c:val>
            <c:numRef>
              <c:f>'D_Ch7-1'!$P$101:$T$101</c:f>
              <c:numCache>
                <c:formatCode>0</c:formatCode>
                <c:ptCount val="5"/>
                <c:pt idx="0" formatCode="#,##0">
                  <c:v>100</c:v>
                </c:pt>
                <c:pt idx="1">
                  <c:v>96.638765598720838</c:v>
                </c:pt>
                <c:pt idx="2">
                  <c:v>94.44977838249396</c:v>
                </c:pt>
                <c:pt idx="3">
                  <c:v>95.707307617046425</c:v>
                </c:pt>
                <c:pt idx="4">
                  <c:v>97.977431650917822</c:v>
                </c:pt>
              </c:numCache>
            </c:numRef>
          </c:val>
          <c:smooth val="0"/>
          <c:extLst>
            <c:ext xmlns:c16="http://schemas.microsoft.com/office/drawing/2014/chart" uri="{C3380CC4-5D6E-409C-BE32-E72D297353CC}">
              <c16:uniqueId val="{00000006-15A2-468D-B17B-D7CB137021F5}"/>
            </c:ext>
          </c:extLst>
        </c:ser>
        <c:ser>
          <c:idx val="7"/>
          <c:order val="7"/>
          <c:tx>
            <c:strRef>
              <c:f>'D_Ch7-1'!$O$102</c:f>
              <c:strCache>
                <c:ptCount val="1"/>
                <c:pt idx="0">
                  <c:v>Pays de la Loire</c:v>
                </c:pt>
              </c:strCache>
            </c:strRef>
          </c:tx>
          <c:spPr>
            <a:ln>
              <a:solidFill>
                <a:srgbClr val="FF33CC"/>
              </a:solidFill>
            </a:ln>
          </c:spPr>
          <c:marker>
            <c:symbol val="none"/>
          </c:marker>
          <c:cat>
            <c:numRef>
              <c:f>'D_Ch7-1'!$P$82:$T$82</c:f>
              <c:numCache>
                <c:formatCode>General</c:formatCode>
                <c:ptCount val="5"/>
                <c:pt idx="0">
                  <c:v>2012</c:v>
                </c:pt>
                <c:pt idx="1">
                  <c:v>2013</c:v>
                </c:pt>
                <c:pt idx="2">
                  <c:v>2014</c:v>
                </c:pt>
                <c:pt idx="3">
                  <c:v>2015</c:v>
                </c:pt>
                <c:pt idx="4">
                  <c:v>2016</c:v>
                </c:pt>
              </c:numCache>
            </c:numRef>
          </c:cat>
          <c:val>
            <c:numRef>
              <c:f>'D_Ch7-1'!$P$102:$T$102</c:f>
              <c:numCache>
                <c:formatCode>0</c:formatCode>
                <c:ptCount val="5"/>
                <c:pt idx="0" formatCode="#,##0">
                  <c:v>100</c:v>
                </c:pt>
                <c:pt idx="1">
                  <c:v>99.335013860422038</c:v>
                </c:pt>
                <c:pt idx="2">
                  <c:v>98.941582051342479</c:v>
                </c:pt>
                <c:pt idx="3">
                  <c:v>104.11163725744261</c:v>
                </c:pt>
                <c:pt idx="4">
                  <c:v>110.84693853511438</c:v>
                </c:pt>
              </c:numCache>
            </c:numRef>
          </c:val>
          <c:smooth val="0"/>
          <c:extLst>
            <c:ext xmlns:c16="http://schemas.microsoft.com/office/drawing/2014/chart" uri="{C3380CC4-5D6E-409C-BE32-E72D297353CC}">
              <c16:uniqueId val="{00000007-15A2-468D-B17B-D7CB137021F5}"/>
            </c:ext>
          </c:extLst>
        </c:ser>
        <c:ser>
          <c:idx val="4"/>
          <c:order val="8"/>
          <c:tx>
            <c:strRef>
              <c:f>'D_Ch7-1'!$O$103</c:f>
              <c:strCache>
                <c:ptCount val="1"/>
                <c:pt idx="0">
                  <c:v>Provence-Alpes-Côte d'Azur</c:v>
                </c:pt>
              </c:strCache>
            </c:strRef>
          </c:tx>
          <c:spPr>
            <a:ln>
              <a:solidFill>
                <a:schemeClr val="tx1"/>
              </a:solidFill>
              <a:prstDash val="sysDot"/>
            </a:ln>
          </c:spPr>
          <c:marker>
            <c:symbol val="none"/>
          </c:marker>
          <c:cat>
            <c:numRef>
              <c:f>'D_Ch7-1'!$P$82:$T$82</c:f>
              <c:numCache>
                <c:formatCode>General</c:formatCode>
                <c:ptCount val="5"/>
                <c:pt idx="0">
                  <c:v>2012</c:v>
                </c:pt>
                <c:pt idx="1">
                  <c:v>2013</c:v>
                </c:pt>
                <c:pt idx="2">
                  <c:v>2014</c:v>
                </c:pt>
                <c:pt idx="3">
                  <c:v>2015</c:v>
                </c:pt>
                <c:pt idx="4">
                  <c:v>2016</c:v>
                </c:pt>
              </c:numCache>
            </c:numRef>
          </c:cat>
          <c:val>
            <c:numRef>
              <c:f>'D_Ch7-1'!$P$103:$T$103</c:f>
              <c:numCache>
                <c:formatCode>0</c:formatCode>
                <c:ptCount val="5"/>
                <c:pt idx="0" formatCode="#,##0">
                  <c:v>100</c:v>
                </c:pt>
                <c:pt idx="1">
                  <c:v>98.309725308117422</c:v>
                </c:pt>
                <c:pt idx="2">
                  <c:v>96.523529574023371</c:v>
                </c:pt>
                <c:pt idx="3">
                  <c:v>98.591482247043828</c:v>
                </c:pt>
                <c:pt idx="4">
                  <c:v>96.903476559406528</c:v>
                </c:pt>
              </c:numCache>
            </c:numRef>
          </c:val>
          <c:smooth val="0"/>
          <c:extLst>
            <c:ext xmlns:c16="http://schemas.microsoft.com/office/drawing/2014/chart" uri="{C3380CC4-5D6E-409C-BE32-E72D297353CC}">
              <c16:uniqueId val="{00000008-15A2-468D-B17B-D7CB137021F5}"/>
            </c:ext>
          </c:extLst>
        </c:ser>
        <c:dLbls>
          <c:showLegendKey val="0"/>
          <c:showVal val="0"/>
          <c:showCatName val="0"/>
          <c:showSerName val="0"/>
          <c:showPercent val="0"/>
          <c:showBubbleSize val="0"/>
        </c:dLbls>
        <c:smooth val="0"/>
        <c:axId val="345359488"/>
        <c:axId val="345361024"/>
      </c:lineChart>
      <c:catAx>
        <c:axId val="345359488"/>
        <c:scaling>
          <c:orientation val="minMax"/>
        </c:scaling>
        <c:delete val="0"/>
        <c:axPos val="b"/>
        <c:numFmt formatCode="General" sourceLinked="1"/>
        <c:majorTickMark val="out"/>
        <c:minorTickMark val="none"/>
        <c:tickLblPos val="nextTo"/>
        <c:crossAx val="345361024"/>
        <c:crosses val="autoZero"/>
        <c:auto val="1"/>
        <c:lblAlgn val="ctr"/>
        <c:lblOffset val="100"/>
        <c:noMultiLvlLbl val="0"/>
      </c:catAx>
      <c:valAx>
        <c:axId val="345361024"/>
        <c:scaling>
          <c:orientation val="minMax"/>
          <c:max val="115"/>
          <c:min val="90"/>
        </c:scaling>
        <c:delete val="0"/>
        <c:axPos val="l"/>
        <c:majorGridlines/>
        <c:numFmt formatCode="#,##0" sourceLinked="0"/>
        <c:majorTickMark val="out"/>
        <c:minorTickMark val="none"/>
        <c:tickLblPos val="nextTo"/>
        <c:crossAx val="345359488"/>
        <c:crosses val="autoZero"/>
        <c:crossBetween val="midCat"/>
      </c:valAx>
    </c:plotArea>
    <c:legend>
      <c:legendPos val="r"/>
      <c:layout>
        <c:manualLayout>
          <c:xMode val="edge"/>
          <c:yMode val="edge"/>
          <c:x val="0.74892054716976553"/>
          <c:y val="2.6282187652449204E-2"/>
          <c:w val="0.24722263726011823"/>
          <c:h val="0.88003134897450197"/>
        </c:manualLayout>
      </c:layout>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cked"/>
        <c:varyColors val="0"/>
        <c:ser>
          <c:idx val="0"/>
          <c:order val="0"/>
          <c:tx>
            <c:strRef>
              <c:f>'D_ch5-3'!$A$4</c:f>
              <c:strCache>
                <c:ptCount val="1"/>
                <c:pt idx="0">
                  <c:v>Nombre total d'emplois</c:v>
                </c:pt>
              </c:strCache>
            </c:strRef>
          </c:tx>
          <c:cat>
            <c:strRef>
              <c:f>'D_ch5-3'!$B$3:$V$3</c:f>
              <c:strCache>
                <c:ptCount val="21"/>
                <c:pt idx="0">
                  <c:v>T1-2012</c:v>
                </c:pt>
                <c:pt idx="1">
                  <c:v>T2-2012</c:v>
                </c:pt>
                <c:pt idx="2">
                  <c:v>T3-2012</c:v>
                </c:pt>
                <c:pt idx="3">
                  <c:v>T4-2012</c:v>
                </c:pt>
                <c:pt idx="4">
                  <c:v>T1-2013</c:v>
                </c:pt>
                <c:pt idx="5">
                  <c:v>T2-2013</c:v>
                </c:pt>
                <c:pt idx="6">
                  <c:v>T3-2013</c:v>
                </c:pt>
                <c:pt idx="7">
                  <c:v>T4-2013</c:v>
                </c:pt>
                <c:pt idx="8">
                  <c:v>T1-2014</c:v>
                </c:pt>
                <c:pt idx="9">
                  <c:v>T2-2014</c:v>
                </c:pt>
                <c:pt idx="10">
                  <c:v>T3-2014</c:v>
                </c:pt>
                <c:pt idx="11">
                  <c:v>T4-2014</c:v>
                </c:pt>
                <c:pt idx="12">
                  <c:v>T1-2015</c:v>
                </c:pt>
                <c:pt idx="13">
                  <c:v>T2-2015</c:v>
                </c:pt>
                <c:pt idx="14">
                  <c:v>T3-2015</c:v>
                </c:pt>
                <c:pt idx="15">
                  <c:v>T4-2015</c:v>
                </c:pt>
                <c:pt idx="16">
                  <c:v>T1-2016</c:v>
                </c:pt>
                <c:pt idx="17">
                  <c:v>T2-2016</c:v>
                </c:pt>
                <c:pt idx="18">
                  <c:v>T3-2016</c:v>
                </c:pt>
                <c:pt idx="19">
                  <c:v>T4-2016</c:v>
                </c:pt>
                <c:pt idx="20">
                  <c:v>T1-2017</c:v>
                </c:pt>
              </c:strCache>
            </c:strRef>
          </c:cat>
          <c:val>
            <c:numRef>
              <c:f>'D_ch5-3'!$B$4:$V$4</c:f>
              <c:numCache>
                <c:formatCode>General</c:formatCode>
                <c:ptCount val="21"/>
                <c:pt idx="0">
                  <c:v>272867</c:v>
                </c:pt>
                <c:pt idx="1">
                  <c:v>274829</c:v>
                </c:pt>
                <c:pt idx="2">
                  <c:v>274073</c:v>
                </c:pt>
                <c:pt idx="3">
                  <c:v>275349</c:v>
                </c:pt>
                <c:pt idx="4">
                  <c:v>272937</c:v>
                </c:pt>
                <c:pt idx="5">
                  <c:v>277116</c:v>
                </c:pt>
                <c:pt idx="6">
                  <c:v>276398</c:v>
                </c:pt>
                <c:pt idx="7">
                  <c:v>277082</c:v>
                </c:pt>
                <c:pt idx="8">
                  <c:v>275024</c:v>
                </c:pt>
                <c:pt idx="9">
                  <c:v>277631</c:v>
                </c:pt>
                <c:pt idx="10">
                  <c:v>277078</c:v>
                </c:pt>
                <c:pt idx="11">
                  <c:v>278125</c:v>
                </c:pt>
                <c:pt idx="12">
                  <c:v>276368</c:v>
                </c:pt>
                <c:pt idx="13">
                  <c:v>280044</c:v>
                </c:pt>
                <c:pt idx="14">
                  <c:v>281057</c:v>
                </c:pt>
                <c:pt idx="15">
                  <c:v>282794</c:v>
                </c:pt>
                <c:pt idx="16">
                  <c:v>282839</c:v>
                </c:pt>
                <c:pt idx="17">
                  <c:v>288383</c:v>
                </c:pt>
                <c:pt idx="18">
                  <c:v>289028</c:v>
                </c:pt>
                <c:pt idx="19">
                  <c:v>290367</c:v>
                </c:pt>
                <c:pt idx="20">
                  <c:v>291738</c:v>
                </c:pt>
              </c:numCache>
            </c:numRef>
          </c:val>
          <c:smooth val="0"/>
          <c:extLst>
            <c:ext xmlns:c16="http://schemas.microsoft.com/office/drawing/2014/chart" uri="{C3380CC4-5D6E-409C-BE32-E72D297353CC}">
              <c16:uniqueId val="{00000000-452D-46E4-B6BD-23E6CA40010A}"/>
            </c:ext>
          </c:extLst>
        </c:ser>
        <c:dLbls>
          <c:showLegendKey val="0"/>
          <c:showVal val="0"/>
          <c:showCatName val="0"/>
          <c:showSerName val="0"/>
          <c:showPercent val="0"/>
          <c:showBubbleSize val="0"/>
        </c:dLbls>
        <c:marker val="1"/>
        <c:smooth val="0"/>
        <c:axId val="333001856"/>
        <c:axId val="333003392"/>
      </c:lineChart>
      <c:catAx>
        <c:axId val="333001856"/>
        <c:scaling>
          <c:orientation val="minMax"/>
        </c:scaling>
        <c:delete val="0"/>
        <c:axPos val="b"/>
        <c:numFmt formatCode="General" sourceLinked="0"/>
        <c:majorTickMark val="out"/>
        <c:minorTickMark val="none"/>
        <c:tickLblPos val="nextTo"/>
        <c:crossAx val="333003392"/>
        <c:crosses val="autoZero"/>
        <c:auto val="1"/>
        <c:lblAlgn val="ctr"/>
        <c:lblOffset val="100"/>
        <c:noMultiLvlLbl val="0"/>
      </c:catAx>
      <c:valAx>
        <c:axId val="333003392"/>
        <c:scaling>
          <c:orientation val="minMax"/>
        </c:scaling>
        <c:delete val="0"/>
        <c:axPos val="l"/>
        <c:majorGridlines/>
        <c:numFmt formatCode="General" sourceLinked="1"/>
        <c:majorTickMark val="out"/>
        <c:minorTickMark val="none"/>
        <c:tickLblPos val="nextTo"/>
        <c:crossAx val="3330018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0651576706969069"/>
          <c:y val="3.8033426661366505E-2"/>
          <c:w val="0.69274646848919152"/>
          <c:h val="0.89877631693047899"/>
        </c:manualLayout>
      </c:layout>
      <c:barChart>
        <c:barDir val="col"/>
        <c:grouping val="percentStacked"/>
        <c:varyColors val="0"/>
        <c:ser>
          <c:idx val="0"/>
          <c:order val="0"/>
          <c:tx>
            <c:strRef>
              <c:f>'Population active'!$A$28:$B$28</c:f>
              <c:strCache>
                <c:ptCount val="2"/>
                <c:pt idx="0">
                  <c:v>Agriculteurs</c:v>
                </c:pt>
              </c:strCache>
            </c:strRef>
          </c:tx>
          <c:spPr>
            <a:solidFill>
              <a:srgbClr val="FFFF00"/>
            </a:solidFill>
          </c:spPr>
          <c:invertIfNegative val="0"/>
          <c:cat>
            <c:strRef>
              <c:f>'Population active'!$C$27:$F$27</c:f>
              <c:strCache>
                <c:ptCount val="3"/>
                <c:pt idx="0">
                  <c:v>Aquitaine</c:v>
                </c:pt>
                <c:pt idx="2">
                  <c:v>Gironde</c:v>
                </c:pt>
              </c:strCache>
            </c:strRef>
          </c:cat>
          <c:val>
            <c:numRef>
              <c:f>'Population active'!$C$28:$F$28</c:f>
              <c:numCache>
                <c:formatCode>0.0%</c:formatCode>
                <c:ptCount val="4"/>
                <c:pt idx="0">
                  <c:v>2.3693566387997186E-2</c:v>
                </c:pt>
                <c:pt idx="2">
                  <c:v>1.1626057649180357E-2</c:v>
                </c:pt>
              </c:numCache>
            </c:numRef>
          </c:val>
          <c:extLst>
            <c:ext xmlns:c16="http://schemas.microsoft.com/office/drawing/2014/chart" uri="{C3380CC4-5D6E-409C-BE32-E72D297353CC}">
              <c16:uniqueId val="{00000000-1444-4A1D-A4DF-E2A6436F8B96}"/>
            </c:ext>
          </c:extLst>
        </c:ser>
        <c:ser>
          <c:idx val="1"/>
          <c:order val="1"/>
          <c:tx>
            <c:strRef>
              <c:f>'Population active'!$A$29:$B$29</c:f>
              <c:strCache>
                <c:ptCount val="2"/>
                <c:pt idx="0">
                  <c:v>Artisans</c:v>
                </c:pt>
              </c:strCache>
            </c:strRef>
          </c:tx>
          <c:spPr>
            <a:solidFill>
              <a:srgbClr val="7030A0"/>
            </a:solidFill>
          </c:spPr>
          <c:invertIfNegative val="0"/>
          <c:dLbls>
            <c:dLbl>
              <c:idx val="3"/>
              <c:layout>
                <c:manualLayout>
                  <c:x val="0"/>
                  <c:y val="-7.469661118531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4-4A1D-A4DF-E2A6436F8B96}"/>
                </c:ext>
              </c:extLst>
            </c:dLbl>
            <c:numFmt formatCode="0%" sourceLinked="0"/>
            <c:spPr>
              <a:noFill/>
              <a:ln>
                <a:noFill/>
              </a:ln>
              <a:effectLst/>
            </c:spPr>
            <c:txPr>
              <a:bodyPr/>
              <a:lstStyle/>
              <a:p>
                <a:pPr>
                  <a:defRPr sz="900"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'Population active'!$C$27:$F$27</c:f>
              <c:strCache>
                <c:ptCount val="3"/>
                <c:pt idx="0">
                  <c:v>Aquitaine</c:v>
                </c:pt>
                <c:pt idx="2">
                  <c:v>Gironde</c:v>
                </c:pt>
              </c:strCache>
            </c:strRef>
          </c:cat>
          <c:val>
            <c:numRef>
              <c:f>'Population active'!$C$29:$F$29</c:f>
              <c:numCache>
                <c:formatCode>0.0%</c:formatCode>
                <c:ptCount val="4"/>
                <c:pt idx="0">
                  <c:v>7.9619250956658907E-2</c:v>
                </c:pt>
                <c:pt idx="2">
                  <c:v>7.2119822126580052E-2</c:v>
                </c:pt>
              </c:numCache>
            </c:numRef>
          </c:val>
          <c:extLst>
            <c:ext xmlns:c16="http://schemas.microsoft.com/office/drawing/2014/chart" uri="{C3380CC4-5D6E-409C-BE32-E72D297353CC}">
              <c16:uniqueId val="{00000002-1444-4A1D-A4DF-E2A6436F8B96}"/>
            </c:ext>
          </c:extLst>
        </c:ser>
        <c:ser>
          <c:idx val="2"/>
          <c:order val="2"/>
          <c:tx>
            <c:strRef>
              <c:f>'Population active'!$A$30:$B$30</c:f>
              <c:strCache>
                <c:ptCount val="2"/>
                <c:pt idx="0">
                  <c:v>Cadres / prof. intellectuelles</c:v>
                </c:pt>
              </c:strCache>
            </c:strRef>
          </c:tx>
          <c:spPr>
            <a:solidFill>
              <a:srgbClr val="A41045"/>
            </a:solidFill>
          </c:spPr>
          <c:invertIfNegative val="0"/>
          <c:dLbls>
            <c:numFmt formatCode="0%" sourceLinked="0"/>
            <c:spPr>
              <a:noFill/>
              <a:ln>
                <a:noFill/>
              </a:ln>
              <a:effectLst/>
            </c:spPr>
            <c:txPr>
              <a:bodyPr/>
              <a:lstStyle/>
              <a:p>
                <a:pPr>
                  <a:defRPr sz="900"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'Population active'!$C$27:$F$27</c:f>
              <c:strCache>
                <c:ptCount val="3"/>
                <c:pt idx="0">
                  <c:v>Aquitaine</c:v>
                </c:pt>
                <c:pt idx="2">
                  <c:v>Gironde</c:v>
                </c:pt>
              </c:strCache>
            </c:strRef>
          </c:cat>
          <c:val>
            <c:numRef>
              <c:f>'Population active'!$C$30:$F$30</c:f>
              <c:numCache>
                <c:formatCode>0.0%</c:formatCode>
                <c:ptCount val="4"/>
                <c:pt idx="0">
                  <c:v>0.14260386236472325</c:v>
                </c:pt>
                <c:pt idx="2">
                  <c:v>0.1777216735497488</c:v>
                </c:pt>
              </c:numCache>
            </c:numRef>
          </c:val>
          <c:extLst>
            <c:ext xmlns:c16="http://schemas.microsoft.com/office/drawing/2014/chart" uri="{C3380CC4-5D6E-409C-BE32-E72D297353CC}">
              <c16:uniqueId val="{00000003-1444-4A1D-A4DF-E2A6436F8B96}"/>
            </c:ext>
          </c:extLst>
        </c:ser>
        <c:ser>
          <c:idx val="3"/>
          <c:order val="3"/>
          <c:tx>
            <c:strRef>
              <c:f>'Population active'!$A$31:$B$31</c:f>
              <c:strCache>
                <c:ptCount val="2"/>
                <c:pt idx="0">
                  <c:v>Prof. intermédiaires</c:v>
                </c:pt>
              </c:strCache>
            </c:strRef>
          </c:tx>
          <c:spPr>
            <a:solidFill>
              <a:srgbClr val="92D050"/>
            </a:solidFill>
          </c:spPr>
          <c:invertIfNegative val="0"/>
          <c:dLbls>
            <c:numFmt formatCode="0%" sourceLinked="0"/>
            <c:spPr>
              <a:noFill/>
              <a:ln>
                <a:noFill/>
              </a:ln>
              <a:effectLst/>
            </c:spPr>
            <c:txPr>
              <a:bodyPr/>
              <a:lstStyle/>
              <a:p>
                <a:pPr>
                  <a:defRPr sz="900"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'Population active'!$C$27:$F$27</c:f>
              <c:strCache>
                <c:ptCount val="3"/>
                <c:pt idx="0">
                  <c:v>Aquitaine</c:v>
                </c:pt>
                <c:pt idx="2">
                  <c:v>Gironde</c:v>
                </c:pt>
              </c:strCache>
            </c:strRef>
          </c:cat>
          <c:val>
            <c:numRef>
              <c:f>'Population active'!$C$31:$F$31</c:f>
              <c:numCache>
                <c:formatCode>0.0%</c:formatCode>
                <c:ptCount val="4"/>
                <c:pt idx="0">
                  <c:v>0.25520543131790085</c:v>
                </c:pt>
                <c:pt idx="2">
                  <c:v>0.26806549027784415</c:v>
                </c:pt>
              </c:numCache>
            </c:numRef>
          </c:val>
          <c:extLst>
            <c:ext xmlns:c16="http://schemas.microsoft.com/office/drawing/2014/chart" uri="{C3380CC4-5D6E-409C-BE32-E72D297353CC}">
              <c16:uniqueId val="{00000004-1444-4A1D-A4DF-E2A6436F8B96}"/>
            </c:ext>
          </c:extLst>
        </c:ser>
        <c:ser>
          <c:idx val="4"/>
          <c:order val="4"/>
          <c:tx>
            <c:strRef>
              <c:f>'Population active'!$A$32:$B$32</c:f>
              <c:strCache>
                <c:ptCount val="2"/>
                <c:pt idx="0">
                  <c:v>Employés</c:v>
                </c:pt>
              </c:strCache>
            </c:strRef>
          </c:tx>
          <c:invertIfNegative val="0"/>
          <c:dLbls>
            <c:numFmt formatCode="0%" sourceLinked="0"/>
            <c:spPr>
              <a:noFill/>
              <a:ln>
                <a:noFill/>
              </a:ln>
              <a:effectLst/>
            </c:spPr>
            <c:txPr>
              <a:bodyPr/>
              <a:lstStyle/>
              <a:p>
                <a:pPr algn="ctr">
                  <a:defRPr lang="fr-FR" sz="9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'Population active'!$C$27:$F$27</c:f>
              <c:strCache>
                <c:ptCount val="3"/>
                <c:pt idx="0">
                  <c:v>Aquitaine</c:v>
                </c:pt>
                <c:pt idx="2">
                  <c:v>Gironde</c:v>
                </c:pt>
              </c:strCache>
            </c:strRef>
          </c:cat>
          <c:val>
            <c:numRef>
              <c:f>'Population active'!$C$32:$F$32</c:f>
              <c:numCache>
                <c:formatCode>0.0%</c:formatCode>
                <c:ptCount val="4"/>
                <c:pt idx="0">
                  <c:v>0.28899178548204785</c:v>
                </c:pt>
                <c:pt idx="2">
                  <c:v>0.28036945910425648</c:v>
                </c:pt>
              </c:numCache>
            </c:numRef>
          </c:val>
          <c:extLst>
            <c:ext xmlns:c16="http://schemas.microsoft.com/office/drawing/2014/chart" uri="{C3380CC4-5D6E-409C-BE32-E72D297353CC}">
              <c16:uniqueId val="{00000005-1444-4A1D-A4DF-E2A6436F8B96}"/>
            </c:ext>
          </c:extLst>
        </c:ser>
        <c:ser>
          <c:idx val="5"/>
          <c:order val="5"/>
          <c:tx>
            <c:strRef>
              <c:f>'Population active'!$A$33:$B$33</c:f>
              <c:strCache>
                <c:ptCount val="2"/>
                <c:pt idx="0">
                  <c:v>Ouvriers</c:v>
                </c:pt>
              </c:strCache>
            </c:strRef>
          </c:tx>
          <c:spPr>
            <a:solidFill>
              <a:srgbClr val="E46C0A"/>
            </a:solidFill>
          </c:spPr>
          <c:invertIfNegative val="0"/>
          <c:dLbls>
            <c:numFmt formatCode="0%" sourceLinked="0"/>
            <c:spPr>
              <a:solidFill>
                <a:srgbClr val="F79646">
                  <a:lumMod val="75000"/>
                </a:srgbClr>
              </a:solidFill>
            </c:spPr>
            <c:txPr>
              <a:bodyPr/>
              <a:lstStyle/>
              <a:p>
                <a:pPr algn="ctr">
                  <a:defRPr lang="fr-FR" sz="9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'Population active'!$C$27:$F$27</c:f>
              <c:strCache>
                <c:ptCount val="3"/>
                <c:pt idx="0">
                  <c:v>Aquitaine</c:v>
                </c:pt>
                <c:pt idx="2">
                  <c:v>Gironde</c:v>
                </c:pt>
              </c:strCache>
            </c:strRef>
          </c:cat>
          <c:val>
            <c:numRef>
              <c:f>'Population active'!$C$33:$F$33</c:f>
              <c:numCache>
                <c:formatCode>0.0%</c:formatCode>
                <c:ptCount val="4"/>
                <c:pt idx="0">
                  <c:v>0.21069018545795709</c:v>
                </c:pt>
                <c:pt idx="2">
                  <c:v>0.18989780724191296</c:v>
                </c:pt>
              </c:numCache>
            </c:numRef>
          </c:val>
          <c:extLst>
            <c:ext xmlns:c16="http://schemas.microsoft.com/office/drawing/2014/chart" uri="{C3380CC4-5D6E-409C-BE32-E72D297353CC}">
              <c16:uniqueId val="{00000006-1444-4A1D-A4DF-E2A6436F8B96}"/>
            </c:ext>
          </c:extLst>
        </c:ser>
        <c:dLbls>
          <c:showLegendKey val="0"/>
          <c:showVal val="0"/>
          <c:showCatName val="0"/>
          <c:showSerName val="0"/>
          <c:showPercent val="0"/>
          <c:showBubbleSize val="0"/>
        </c:dLbls>
        <c:gapWidth val="195"/>
        <c:overlap val="100"/>
        <c:serLines>
          <c:spPr>
            <a:ln>
              <a:solidFill>
                <a:schemeClr val="bg1">
                  <a:lumMod val="75000"/>
                </a:schemeClr>
              </a:solidFill>
              <a:prstDash val="dashDot"/>
            </a:ln>
          </c:spPr>
        </c:serLines>
        <c:axId val="333558144"/>
        <c:axId val="333559680"/>
      </c:barChart>
      <c:catAx>
        <c:axId val="333558144"/>
        <c:scaling>
          <c:orientation val="minMax"/>
        </c:scaling>
        <c:delete val="1"/>
        <c:axPos val="b"/>
        <c:numFmt formatCode="General" sourceLinked="0"/>
        <c:majorTickMark val="out"/>
        <c:minorTickMark val="none"/>
        <c:tickLblPos val="nextTo"/>
        <c:crossAx val="333559680"/>
        <c:crosses val="autoZero"/>
        <c:auto val="1"/>
        <c:lblAlgn val="ctr"/>
        <c:lblOffset val="100"/>
        <c:noMultiLvlLbl val="0"/>
      </c:catAx>
      <c:valAx>
        <c:axId val="333559680"/>
        <c:scaling>
          <c:orientation val="minMax"/>
        </c:scaling>
        <c:delete val="1"/>
        <c:axPos val="l"/>
        <c:majorGridlines>
          <c:spPr>
            <a:ln>
              <a:noFill/>
            </a:ln>
          </c:spPr>
        </c:majorGridlines>
        <c:numFmt formatCode="0%" sourceLinked="1"/>
        <c:majorTickMark val="out"/>
        <c:minorTickMark val="none"/>
        <c:tickLblPos val="nextTo"/>
        <c:crossAx val="333558144"/>
        <c:crosses val="autoZero"/>
        <c:crossBetween val="between"/>
      </c:valAx>
    </c:plotArea>
    <c:legend>
      <c:legendPos val="l"/>
      <c:legendEntry>
        <c:idx val="2"/>
        <c:txPr>
          <a:bodyPr/>
          <a:lstStyle/>
          <a:p>
            <a:pPr>
              <a:defRPr sz="900">
                <a:solidFill>
                  <a:sysClr val="windowText" lastClr="000000"/>
                </a:solidFill>
              </a:defRPr>
            </a:pPr>
            <a:endParaRPr lang="fr-FR"/>
          </a:p>
        </c:txPr>
      </c:legendEntry>
      <c:layout>
        <c:manualLayout>
          <c:xMode val="edge"/>
          <c:yMode val="edge"/>
          <c:x val="1.2779552715654952E-2"/>
          <c:y val="2.3353164048253446E-2"/>
          <c:w val="0.29180296283189322"/>
          <c:h val="0.92294837973933808"/>
        </c:manualLayout>
      </c:layout>
      <c:overlay val="0"/>
      <c:txPr>
        <a:bodyPr/>
        <a:lstStyle/>
        <a:p>
          <a:pPr>
            <a:defRPr sz="9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80839895013128E-2"/>
          <c:y val="6.1238678296609124E-2"/>
          <c:w val="0.90679323417906099"/>
          <c:h val="0.71871983545776463"/>
        </c:manualLayout>
      </c:layout>
      <c:lineChart>
        <c:grouping val="standard"/>
        <c:varyColors val="0"/>
        <c:ser>
          <c:idx val="0"/>
          <c:order val="0"/>
          <c:tx>
            <c:strRef>
              <c:f>'D_ch5-3'!$A$6</c:f>
              <c:strCache>
                <c:ptCount val="1"/>
                <c:pt idx="0">
                  <c:v>Création trimestrielle d'emplois</c:v>
                </c:pt>
              </c:strCache>
            </c:strRef>
          </c:tx>
          <c:spPr>
            <a:ln>
              <a:solidFill>
                <a:srgbClr val="7030A0"/>
              </a:solidFill>
            </a:ln>
          </c:spPr>
          <c:marker>
            <c:symbol val="none"/>
          </c:marker>
          <c:dLbls>
            <c:dLbl>
              <c:idx val="3"/>
              <c:layout>
                <c:manualLayout>
                  <c:x val="-3.7192983997498992E-3"/>
                  <c:y val="5.532286555019025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B6-4A29-93E9-7F3F5184BEB6}"/>
                </c:ext>
              </c:extLst>
            </c:dLbl>
            <c:dLbl>
              <c:idx val="4"/>
              <c:layout>
                <c:manualLayout>
                  <c:x val="-3.7192983997498649E-3"/>
                  <c:y val="-1.6596859665057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B6-4A29-93E9-7F3F5184BEB6}"/>
                </c:ext>
              </c:extLst>
            </c:dLbl>
            <c:dLbl>
              <c:idx val="5"/>
              <c:layout>
                <c:manualLayout>
                  <c:x val="-1.1157895199249698E-2"/>
                  <c:y val="1.6596859665057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B6-4A29-93E9-7F3F5184BEB6}"/>
                </c:ext>
              </c:extLst>
            </c:dLbl>
            <c:dLbl>
              <c:idx val="8"/>
              <c:layout>
                <c:manualLayout>
                  <c:x val="-5.5789475996248488E-3"/>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B6-4A29-93E9-7F3F5184BEB6}"/>
                </c:ext>
              </c:extLst>
            </c:dLbl>
            <c:dLbl>
              <c:idx val="12"/>
              <c:layout>
                <c:manualLayout>
                  <c:x val="-5.5789475996248488E-3"/>
                  <c:y val="-5.532286555019025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B6-4A29-93E9-7F3F5184BEB6}"/>
                </c:ext>
              </c:extLst>
            </c:dLbl>
            <c:dLbl>
              <c:idx val="13"/>
              <c:layout>
                <c:manualLayout>
                  <c:x val="-2.2315790398499395E-2"/>
                  <c:y val="3.3193719330114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B6-4A29-93E9-7F3F5184BEB6}"/>
                </c:ext>
              </c:extLst>
            </c:dLbl>
            <c:dLbl>
              <c:idx val="14"/>
              <c:layout>
                <c:manualLayout>
                  <c:x val="-2.7894737998124242E-2"/>
                  <c:y val="-4.42582924401522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B6-4A29-93E9-7F3F5184BEB6}"/>
                </c:ext>
              </c:extLst>
            </c:dLbl>
            <c:dLbl>
              <c:idx val="15"/>
              <c:layout>
                <c:manualLayout>
                  <c:x val="-1.8596491998749496E-2"/>
                  <c:y val="3.3193719330114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B6-4A29-93E9-7F3F5184BEB6}"/>
                </c:ext>
              </c:extLst>
            </c:dLbl>
            <c:dLbl>
              <c:idx val="17"/>
              <c:layout>
                <c:manualLayout>
                  <c:x val="-2.7894737998124242E-2"/>
                  <c:y val="2.7661432775095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B6-4A29-93E9-7F3F5184BEB6}"/>
                </c:ext>
              </c:extLst>
            </c:dLbl>
            <c:dLbl>
              <c:idx val="18"/>
              <c:layout>
                <c:manualLayout>
                  <c:x val="-2.7894737998124242E-2"/>
                  <c:y val="3.87260058851331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B6-4A29-93E9-7F3F5184BEB6}"/>
                </c:ext>
              </c:extLst>
            </c:dLbl>
            <c:dLbl>
              <c:idx val="19"/>
              <c:layout>
                <c:manualLayout>
                  <c:x val="-5.578947599624985E-3"/>
                  <c:y val="-1.10645731100380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B6-4A29-93E9-7F3F5184BEB6}"/>
                </c:ext>
              </c:extLst>
            </c:dLbl>
            <c:numFmt formatCode="#,##0" sourceLinked="0"/>
            <c:spPr>
              <a:noFill/>
              <a:ln>
                <a:noFill/>
              </a:ln>
              <a:effectLst/>
            </c:spPr>
            <c:txPr>
              <a:bodyPr/>
              <a:lstStyle/>
              <a:p>
                <a:pPr>
                  <a:defRPr sz="800" b="1" i="1"/>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strRef>
              <c:f>'D_ch5-3'!$C$5:$V$5</c:f>
              <c:strCache>
                <c:ptCount val="20"/>
                <c:pt idx="0">
                  <c:v>T2-2012</c:v>
                </c:pt>
                <c:pt idx="1">
                  <c:v>T3-2012</c:v>
                </c:pt>
                <c:pt idx="2">
                  <c:v>T4-2012</c:v>
                </c:pt>
                <c:pt idx="3">
                  <c:v>T1-2013</c:v>
                </c:pt>
                <c:pt idx="4">
                  <c:v>T2-2013</c:v>
                </c:pt>
                <c:pt idx="5">
                  <c:v>T3-2013</c:v>
                </c:pt>
                <c:pt idx="6">
                  <c:v>T4-2013</c:v>
                </c:pt>
                <c:pt idx="7">
                  <c:v>T1-2014</c:v>
                </c:pt>
                <c:pt idx="8">
                  <c:v>T2-2014</c:v>
                </c:pt>
                <c:pt idx="9">
                  <c:v>T3-2014</c:v>
                </c:pt>
                <c:pt idx="10">
                  <c:v>T4-2014</c:v>
                </c:pt>
                <c:pt idx="11">
                  <c:v>T1-2015</c:v>
                </c:pt>
                <c:pt idx="12">
                  <c:v>T2-2015</c:v>
                </c:pt>
                <c:pt idx="13">
                  <c:v>T3-2015</c:v>
                </c:pt>
                <c:pt idx="14">
                  <c:v>T4-2015</c:v>
                </c:pt>
                <c:pt idx="15">
                  <c:v>T1-2016</c:v>
                </c:pt>
                <c:pt idx="16">
                  <c:v>T2-2016</c:v>
                </c:pt>
                <c:pt idx="17">
                  <c:v>T3-2016</c:v>
                </c:pt>
                <c:pt idx="18">
                  <c:v>T4-2016</c:v>
                </c:pt>
                <c:pt idx="19">
                  <c:v>T1-2017</c:v>
                </c:pt>
              </c:strCache>
            </c:strRef>
          </c:cat>
          <c:val>
            <c:numRef>
              <c:f>'D_ch5-3'!$C$6:$V$6</c:f>
              <c:numCache>
                <c:formatCode>General</c:formatCode>
                <c:ptCount val="20"/>
                <c:pt idx="0">
                  <c:v>1962</c:v>
                </c:pt>
                <c:pt idx="1">
                  <c:v>-756</c:v>
                </c:pt>
                <c:pt idx="2">
                  <c:v>1276</c:v>
                </c:pt>
                <c:pt idx="3">
                  <c:v>-2412</c:v>
                </c:pt>
                <c:pt idx="4">
                  <c:v>4179</c:v>
                </c:pt>
                <c:pt idx="5">
                  <c:v>-718</c:v>
                </c:pt>
                <c:pt idx="6">
                  <c:v>684</c:v>
                </c:pt>
                <c:pt idx="7">
                  <c:v>-2058</c:v>
                </c:pt>
                <c:pt idx="8">
                  <c:v>2607</c:v>
                </c:pt>
                <c:pt idx="9">
                  <c:v>-553</c:v>
                </c:pt>
                <c:pt idx="10">
                  <c:v>1047</c:v>
                </c:pt>
                <c:pt idx="11">
                  <c:v>-1757</c:v>
                </c:pt>
                <c:pt idx="12">
                  <c:v>3676</c:v>
                </c:pt>
                <c:pt idx="13">
                  <c:v>1013</c:v>
                </c:pt>
                <c:pt idx="14">
                  <c:v>1737</c:v>
                </c:pt>
                <c:pt idx="15">
                  <c:v>45</c:v>
                </c:pt>
                <c:pt idx="16">
                  <c:v>5544</c:v>
                </c:pt>
                <c:pt idx="17">
                  <c:v>645</c:v>
                </c:pt>
                <c:pt idx="18">
                  <c:v>1339</c:v>
                </c:pt>
                <c:pt idx="19">
                  <c:v>1371</c:v>
                </c:pt>
              </c:numCache>
            </c:numRef>
          </c:val>
          <c:smooth val="0"/>
          <c:extLst>
            <c:ext xmlns:c16="http://schemas.microsoft.com/office/drawing/2014/chart" uri="{C3380CC4-5D6E-409C-BE32-E72D297353CC}">
              <c16:uniqueId val="{0000000C-34B6-4A29-93E9-7F3F5184BEB6}"/>
            </c:ext>
          </c:extLst>
        </c:ser>
        <c:dLbls>
          <c:showLegendKey val="0"/>
          <c:showVal val="0"/>
          <c:showCatName val="0"/>
          <c:showSerName val="0"/>
          <c:showPercent val="0"/>
          <c:showBubbleSize val="0"/>
        </c:dLbls>
        <c:smooth val="0"/>
        <c:axId val="335701504"/>
        <c:axId val="335703040"/>
      </c:lineChart>
      <c:catAx>
        <c:axId val="335701504"/>
        <c:scaling>
          <c:orientation val="minMax"/>
        </c:scaling>
        <c:delete val="0"/>
        <c:axPos val="b"/>
        <c:numFmt formatCode="General" sourceLinked="0"/>
        <c:majorTickMark val="out"/>
        <c:minorTickMark val="none"/>
        <c:tickLblPos val="low"/>
        <c:txPr>
          <a:bodyPr rot="-5400000" vert="horz"/>
          <a:lstStyle/>
          <a:p>
            <a:pPr>
              <a:defRPr sz="800">
                <a:latin typeface="Avenir LT Std 35 Light" pitchFamily="34" charset="0"/>
              </a:defRPr>
            </a:pPr>
            <a:endParaRPr lang="fr-FR"/>
          </a:p>
        </c:txPr>
        <c:crossAx val="335703040"/>
        <c:crosses val="autoZero"/>
        <c:auto val="1"/>
        <c:lblAlgn val="ctr"/>
        <c:lblOffset val="100"/>
        <c:noMultiLvlLbl val="0"/>
      </c:catAx>
      <c:valAx>
        <c:axId val="335703040"/>
        <c:scaling>
          <c:orientation val="minMax"/>
        </c:scaling>
        <c:delete val="0"/>
        <c:axPos val="l"/>
        <c:majorGridlines/>
        <c:numFmt formatCode="General" sourceLinked="1"/>
        <c:majorTickMark val="out"/>
        <c:minorTickMark val="none"/>
        <c:tickLblPos val="nextTo"/>
        <c:txPr>
          <a:bodyPr/>
          <a:lstStyle/>
          <a:p>
            <a:pPr>
              <a:defRPr sz="900">
                <a:latin typeface="Avenir LT Std 35 Light" pitchFamily="34" charset="0"/>
              </a:defRPr>
            </a:pPr>
            <a:endParaRPr lang="fr-FR"/>
          </a:p>
        </c:txPr>
        <c:crossAx val="3357015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61067366579174E-2"/>
          <c:y val="6.2278825466823708E-2"/>
          <c:w val="0.62662182852143478"/>
          <c:h val="0.81689044543848843"/>
        </c:manualLayout>
      </c:layout>
      <c:lineChart>
        <c:grouping val="standard"/>
        <c:varyColors val="0"/>
        <c:ser>
          <c:idx val="3"/>
          <c:order val="0"/>
          <c:tx>
            <c:strRef>
              <c:f>'Dynamique de l''emploi'!$I$44:$L$44</c:f>
              <c:strCache>
                <c:ptCount val="4"/>
                <c:pt idx="0">
                  <c:v>ZE Bordeaux</c:v>
                </c:pt>
              </c:strCache>
            </c:strRef>
          </c:tx>
          <c:spPr>
            <a:ln>
              <a:solidFill>
                <a:srgbClr val="9900CC"/>
              </a:solidFill>
            </a:ln>
          </c:spPr>
          <c:marker>
            <c:symbol val="none"/>
          </c:marker>
          <c:cat>
            <c:numRef>
              <c:f>'Dynamique de l''emploi'!$M$42:$T$42</c:f>
              <c:numCache>
                <c:formatCode>General</c:formatCode>
                <c:ptCount val="8"/>
                <c:pt idx="0">
                  <c:v>2009</c:v>
                </c:pt>
                <c:pt idx="1">
                  <c:v>2010</c:v>
                </c:pt>
                <c:pt idx="2">
                  <c:v>2011</c:v>
                </c:pt>
                <c:pt idx="3">
                  <c:v>2012</c:v>
                </c:pt>
                <c:pt idx="4">
                  <c:v>2013</c:v>
                </c:pt>
                <c:pt idx="5">
                  <c:v>2014</c:v>
                </c:pt>
                <c:pt idx="6">
                  <c:v>2015</c:v>
                </c:pt>
                <c:pt idx="7">
                  <c:v>2016</c:v>
                </c:pt>
              </c:numCache>
            </c:numRef>
          </c:cat>
          <c:val>
            <c:numRef>
              <c:f>'Dynamique de l''emploi'!$M$44:$T$44</c:f>
              <c:numCache>
                <c:formatCode>General</c:formatCode>
                <c:ptCount val="8"/>
                <c:pt idx="0">
                  <c:v>100</c:v>
                </c:pt>
                <c:pt idx="1">
                  <c:v>101.48441178693299</c:v>
                </c:pt>
                <c:pt idx="2">
                  <c:v>103.08101917789108</c:v>
                </c:pt>
                <c:pt idx="3">
                  <c:v>104.16344516076525</c:v>
                </c:pt>
                <c:pt idx="4">
                  <c:v>104.84650129925997</c:v>
                </c:pt>
                <c:pt idx="5">
                  <c:v>105.45543858017335</c:v>
                </c:pt>
                <c:pt idx="6">
                  <c:v>107.1604629667308</c:v>
                </c:pt>
                <c:pt idx="7">
                  <c:v>110.26996703890804</c:v>
                </c:pt>
              </c:numCache>
            </c:numRef>
          </c:val>
          <c:smooth val="0"/>
          <c:extLst>
            <c:ext xmlns:c16="http://schemas.microsoft.com/office/drawing/2014/chart" uri="{C3380CC4-5D6E-409C-BE32-E72D297353CC}">
              <c16:uniqueId val="{00000000-5FEC-440A-9A7C-5D18F5DB4AE1}"/>
            </c:ext>
          </c:extLst>
        </c:ser>
        <c:ser>
          <c:idx val="4"/>
          <c:order val="1"/>
          <c:tx>
            <c:strRef>
              <c:f>'Dynamique de l''emploi'!$I$45:$L$45</c:f>
              <c:strCache>
                <c:ptCount val="4"/>
                <c:pt idx="0">
                  <c:v>Aquitaine</c:v>
                </c:pt>
              </c:strCache>
            </c:strRef>
          </c:tx>
          <c:marker>
            <c:symbol val="none"/>
          </c:marker>
          <c:cat>
            <c:numRef>
              <c:f>'Dynamique de l''emploi'!$M$42:$T$42</c:f>
              <c:numCache>
                <c:formatCode>General</c:formatCode>
                <c:ptCount val="8"/>
                <c:pt idx="0">
                  <c:v>2009</c:v>
                </c:pt>
                <c:pt idx="1">
                  <c:v>2010</c:v>
                </c:pt>
                <c:pt idx="2">
                  <c:v>2011</c:v>
                </c:pt>
                <c:pt idx="3">
                  <c:v>2012</c:v>
                </c:pt>
                <c:pt idx="4">
                  <c:v>2013</c:v>
                </c:pt>
                <c:pt idx="5">
                  <c:v>2014</c:v>
                </c:pt>
                <c:pt idx="6">
                  <c:v>2015</c:v>
                </c:pt>
                <c:pt idx="7">
                  <c:v>2016</c:v>
                </c:pt>
              </c:numCache>
            </c:numRef>
          </c:cat>
          <c:val>
            <c:numRef>
              <c:f>'Dynamique de l''emploi'!$M$45:$T$45</c:f>
              <c:numCache>
                <c:formatCode>General</c:formatCode>
                <c:ptCount val="8"/>
                <c:pt idx="0">
                  <c:v>100</c:v>
                </c:pt>
                <c:pt idx="1">
                  <c:v>101.22208305231717</c:v>
                </c:pt>
                <c:pt idx="2">
                  <c:v>102.22089475543565</c:v>
                </c:pt>
                <c:pt idx="3">
                  <c:v>102.23913671837363</c:v>
                </c:pt>
                <c:pt idx="4">
                  <c:v>102.23682435687446</c:v>
                </c:pt>
                <c:pt idx="5">
                  <c:v>102.37659376304717</c:v>
                </c:pt>
                <c:pt idx="6">
                  <c:v>103.02444037640106</c:v>
                </c:pt>
                <c:pt idx="7">
                  <c:v>105.07203648392587</c:v>
                </c:pt>
              </c:numCache>
            </c:numRef>
          </c:val>
          <c:smooth val="0"/>
          <c:extLst>
            <c:ext xmlns:c16="http://schemas.microsoft.com/office/drawing/2014/chart" uri="{C3380CC4-5D6E-409C-BE32-E72D297353CC}">
              <c16:uniqueId val="{00000001-5FEC-440A-9A7C-5D18F5DB4AE1}"/>
            </c:ext>
          </c:extLst>
        </c:ser>
        <c:ser>
          <c:idx val="5"/>
          <c:order val="2"/>
          <c:tx>
            <c:strRef>
              <c:f>'Dynamique de l''emploi'!$I$46:$L$46</c:f>
              <c:strCache>
                <c:ptCount val="4"/>
                <c:pt idx="0">
                  <c:v>Rhône</c:v>
                </c:pt>
              </c:strCache>
            </c:strRef>
          </c:tx>
          <c:marker>
            <c:symbol val="none"/>
          </c:marker>
          <c:cat>
            <c:numRef>
              <c:f>'Dynamique de l''emploi'!$M$42:$T$42</c:f>
              <c:numCache>
                <c:formatCode>General</c:formatCode>
                <c:ptCount val="8"/>
                <c:pt idx="0">
                  <c:v>2009</c:v>
                </c:pt>
                <c:pt idx="1">
                  <c:v>2010</c:v>
                </c:pt>
                <c:pt idx="2">
                  <c:v>2011</c:v>
                </c:pt>
                <c:pt idx="3">
                  <c:v>2012</c:v>
                </c:pt>
                <c:pt idx="4">
                  <c:v>2013</c:v>
                </c:pt>
                <c:pt idx="5">
                  <c:v>2014</c:v>
                </c:pt>
                <c:pt idx="6">
                  <c:v>2015</c:v>
                </c:pt>
                <c:pt idx="7">
                  <c:v>2016</c:v>
                </c:pt>
              </c:numCache>
            </c:numRef>
          </c:cat>
          <c:val>
            <c:numRef>
              <c:f>'Dynamique de l''emploi'!$M$46:$T$46</c:f>
              <c:numCache>
                <c:formatCode>General</c:formatCode>
                <c:ptCount val="8"/>
                <c:pt idx="0">
                  <c:v>100</c:v>
                </c:pt>
                <c:pt idx="1">
                  <c:v>101.63826072035171</c:v>
                </c:pt>
                <c:pt idx="2">
                  <c:v>103.33546768522388</c:v>
                </c:pt>
                <c:pt idx="3">
                  <c:v>103.65403162124416</c:v>
                </c:pt>
                <c:pt idx="4">
                  <c:v>104.0618887902038</c:v>
                </c:pt>
                <c:pt idx="5">
                  <c:v>105.06699375741792</c:v>
                </c:pt>
                <c:pt idx="6">
                  <c:v>106.77707038753582</c:v>
                </c:pt>
                <c:pt idx="7">
                  <c:v>108.5808890237644</c:v>
                </c:pt>
              </c:numCache>
            </c:numRef>
          </c:val>
          <c:smooth val="0"/>
          <c:extLst>
            <c:ext xmlns:c16="http://schemas.microsoft.com/office/drawing/2014/chart" uri="{C3380CC4-5D6E-409C-BE32-E72D297353CC}">
              <c16:uniqueId val="{00000002-5FEC-440A-9A7C-5D18F5DB4AE1}"/>
            </c:ext>
          </c:extLst>
        </c:ser>
        <c:ser>
          <c:idx val="0"/>
          <c:order val="3"/>
          <c:tx>
            <c:strRef>
              <c:f>'Dynamique de l''emploi'!$I$47:$L$47</c:f>
              <c:strCache>
                <c:ptCount val="4"/>
                <c:pt idx="0">
                  <c:v>AU Marseille - Aix</c:v>
                </c:pt>
              </c:strCache>
            </c:strRef>
          </c:tx>
          <c:marker>
            <c:symbol val="none"/>
          </c:marker>
          <c:cat>
            <c:numRef>
              <c:f>'Dynamique de l''emploi'!$M$42:$T$42</c:f>
              <c:numCache>
                <c:formatCode>General</c:formatCode>
                <c:ptCount val="8"/>
                <c:pt idx="0">
                  <c:v>2009</c:v>
                </c:pt>
                <c:pt idx="1">
                  <c:v>2010</c:v>
                </c:pt>
                <c:pt idx="2">
                  <c:v>2011</c:v>
                </c:pt>
                <c:pt idx="3">
                  <c:v>2012</c:v>
                </c:pt>
                <c:pt idx="4">
                  <c:v>2013</c:v>
                </c:pt>
                <c:pt idx="5">
                  <c:v>2014</c:v>
                </c:pt>
                <c:pt idx="6">
                  <c:v>2015</c:v>
                </c:pt>
                <c:pt idx="7">
                  <c:v>2016</c:v>
                </c:pt>
              </c:numCache>
            </c:numRef>
          </c:cat>
          <c:val>
            <c:numRef>
              <c:f>'Dynamique de l''emploi'!$M$47:$T$47</c:f>
              <c:numCache>
                <c:formatCode>General</c:formatCode>
                <c:ptCount val="8"/>
                <c:pt idx="0">
                  <c:v>100</c:v>
                </c:pt>
                <c:pt idx="1">
                  <c:v>100.55875771071616</c:v>
                </c:pt>
                <c:pt idx="2">
                  <c:v>101.68588961479976</c:v>
                </c:pt>
                <c:pt idx="3">
                  <c:v>101.79828225578642</c:v>
                </c:pt>
                <c:pt idx="4">
                  <c:v>101.78345684503239</c:v>
                </c:pt>
                <c:pt idx="5">
                  <c:v>102.67959282209706</c:v>
                </c:pt>
                <c:pt idx="6">
                  <c:v>103.71096058644518</c:v>
                </c:pt>
                <c:pt idx="7">
                  <c:v>105.25320399164167</c:v>
                </c:pt>
              </c:numCache>
            </c:numRef>
          </c:val>
          <c:smooth val="0"/>
          <c:extLst>
            <c:ext xmlns:c16="http://schemas.microsoft.com/office/drawing/2014/chart" uri="{C3380CC4-5D6E-409C-BE32-E72D297353CC}">
              <c16:uniqueId val="{00000003-5FEC-440A-9A7C-5D18F5DB4AE1}"/>
            </c:ext>
          </c:extLst>
        </c:ser>
        <c:ser>
          <c:idx val="1"/>
          <c:order val="4"/>
          <c:tx>
            <c:strRef>
              <c:f>'Dynamique de l''emploi'!$I$48:$L$48</c:f>
              <c:strCache>
                <c:ptCount val="4"/>
                <c:pt idx="0">
                  <c:v>Nouvelle-Aquitaine</c:v>
                </c:pt>
              </c:strCache>
            </c:strRef>
          </c:tx>
          <c:marker>
            <c:symbol val="none"/>
          </c:marker>
          <c:cat>
            <c:numRef>
              <c:f>'Dynamique de l''emploi'!$M$42:$T$42</c:f>
              <c:numCache>
                <c:formatCode>General</c:formatCode>
                <c:ptCount val="8"/>
                <c:pt idx="0">
                  <c:v>2009</c:v>
                </c:pt>
                <c:pt idx="1">
                  <c:v>2010</c:v>
                </c:pt>
                <c:pt idx="2">
                  <c:v>2011</c:v>
                </c:pt>
                <c:pt idx="3">
                  <c:v>2012</c:v>
                </c:pt>
                <c:pt idx="4">
                  <c:v>2013</c:v>
                </c:pt>
                <c:pt idx="5">
                  <c:v>2014</c:v>
                </c:pt>
                <c:pt idx="6">
                  <c:v>2015</c:v>
                </c:pt>
                <c:pt idx="7">
                  <c:v>2016</c:v>
                </c:pt>
              </c:numCache>
            </c:numRef>
          </c:cat>
          <c:val>
            <c:numRef>
              <c:f>'Dynamique de l''emploi'!$M$48:$T$48</c:f>
              <c:numCache>
                <c:formatCode>General</c:formatCode>
                <c:ptCount val="8"/>
                <c:pt idx="0">
                  <c:v>100</c:v>
                </c:pt>
                <c:pt idx="1">
                  <c:v>101.09076542145658</c:v>
                </c:pt>
                <c:pt idx="2">
                  <c:v>101.79280021490555</c:v>
                </c:pt>
                <c:pt idx="3">
                  <c:v>101.47350982227638</c:v>
                </c:pt>
                <c:pt idx="4">
                  <c:v>101.21707481511912</c:v>
                </c:pt>
                <c:pt idx="5">
                  <c:v>100.87092122798471</c:v>
                </c:pt>
                <c:pt idx="6">
                  <c:v>101.14479112182646</c:v>
                </c:pt>
                <c:pt idx="7">
                  <c:v>102.54713966840792</c:v>
                </c:pt>
              </c:numCache>
            </c:numRef>
          </c:val>
          <c:smooth val="0"/>
          <c:extLst>
            <c:ext xmlns:c16="http://schemas.microsoft.com/office/drawing/2014/chart" uri="{C3380CC4-5D6E-409C-BE32-E72D297353CC}">
              <c16:uniqueId val="{00000004-5FEC-440A-9A7C-5D18F5DB4AE1}"/>
            </c:ext>
          </c:extLst>
        </c:ser>
        <c:ser>
          <c:idx val="2"/>
          <c:order val="5"/>
          <c:tx>
            <c:strRef>
              <c:f>'Dynamique de l''emploi'!$I$43:$L$43</c:f>
              <c:strCache>
                <c:ptCount val="4"/>
                <c:pt idx="0">
                  <c:v>France Métro.</c:v>
                </c:pt>
              </c:strCache>
            </c:strRef>
          </c:tx>
          <c:spPr>
            <a:ln w="19050">
              <a:solidFill>
                <a:schemeClr val="tx1"/>
              </a:solidFill>
              <a:prstDash val="dash"/>
            </a:ln>
          </c:spPr>
          <c:marker>
            <c:symbol val="none"/>
          </c:marker>
          <c:cat>
            <c:numRef>
              <c:f>'Dynamique de l''emploi'!$M$42:$T$42</c:f>
              <c:numCache>
                <c:formatCode>General</c:formatCode>
                <c:ptCount val="8"/>
                <c:pt idx="0">
                  <c:v>2009</c:v>
                </c:pt>
                <c:pt idx="1">
                  <c:v>2010</c:v>
                </c:pt>
                <c:pt idx="2">
                  <c:v>2011</c:v>
                </c:pt>
                <c:pt idx="3">
                  <c:v>2012</c:v>
                </c:pt>
                <c:pt idx="4">
                  <c:v>2013</c:v>
                </c:pt>
                <c:pt idx="5">
                  <c:v>2014</c:v>
                </c:pt>
                <c:pt idx="6">
                  <c:v>2015</c:v>
                </c:pt>
                <c:pt idx="7">
                  <c:v>2016</c:v>
                </c:pt>
              </c:numCache>
            </c:numRef>
          </c:cat>
          <c:val>
            <c:numRef>
              <c:f>'Dynamique de l''emploi'!$M$43:$T$43</c:f>
              <c:numCache>
                <c:formatCode>General</c:formatCode>
                <c:ptCount val="8"/>
                <c:pt idx="0">
                  <c:v>100</c:v>
                </c:pt>
                <c:pt idx="1">
                  <c:v>100.91958521751235</c:v>
                </c:pt>
                <c:pt idx="2">
                  <c:v>101.60749348224303</c:v>
                </c:pt>
                <c:pt idx="3">
                  <c:v>101.08835565702073</c:v>
                </c:pt>
                <c:pt idx="4">
                  <c:v>100.74002580013581</c:v>
                </c:pt>
                <c:pt idx="5">
                  <c:v>100.55853394137708</c:v>
                </c:pt>
                <c:pt idx="6">
                  <c:v>101.16595689826696</c:v>
                </c:pt>
                <c:pt idx="7">
                  <c:v>102.39413140321165</c:v>
                </c:pt>
              </c:numCache>
            </c:numRef>
          </c:val>
          <c:smooth val="0"/>
          <c:extLst>
            <c:ext xmlns:c16="http://schemas.microsoft.com/office/drawing/2014/chart" uri="{C3380CC4-5D6E-409C-BE32-E72D297353CC}">
              <c16:uniqueId val="{00000005-5FEC-440A-9A7C-5D18F5DB4AE1}"/>
            </c:ext>
          </c:extLst>
        </c:ser>
        <c:dLbls>
          <c:showLegendKey val="0"/>
          <c:showVal val="0"/>
          <c:showCatName val="0"/>
          <c:showSerName val="0"/>
          <c:showPercent val="0"/>
          <c:showBubbleSize val="0"/>
        </c:dLbls>
        <c:smooth val="0"/>
        <c:axId val="335766272"/>
        <c:axId val="335767808"/>
      </c:lineChart>
      <c:catAx>
        <c:axId val="335766272"/>
        <c:scaling>
          <c:orientation val="minMax"/>
        </c:scaling>
        <c:delete val="0"/>
        <c:axPos val="b"/>
        <c:numFmt formatCode="General" sourceLinked="1"/>
        <c:majorTickMark val="out"/>
        <c:minorTickMark val="none"/>
        <c:tickLblPos val="nextTo"/>
        <c:txPr>
          <a:bodyPr/>
          <a:lstStyle/>
          <a:p>
            <a:pPr>
              <a:defRPr sz="800"/>
            </a:pPr>
            <a:endParaRPr lang="fr-FR"/>
          </a:p>
        </c:txPr>
        <c:crossAx val="335767808"/>
        <c:crosses val="autoZero"/>
        <c:auto val="1"/>
        <c:lblAlgn val="ctr"/>
        <c:lblOffset val="100"/>
        <c:noMultiLvlLbl val="0"/>
      </c:catAx>
      <c:valAx>
        <c:axId val="335767808"/>
        <c:scaling>
          <c:orientation val="minMax"/>
          <c:max val="113"/>
          <c:min val="94"/>
        </c:scaling>
        <c:delete val="0"/>
        <c:axPos val="l"/>
        <c:majorGridlines/>
        <c:numFmt formatCode="General" sourceLinked="1"/>
        <c:majorTickMark val="out"/>
        <c:minorTickMark val="none"/>
        <c:tickLblPos val="nextTo"/>
        <c:txPr>
          <a:bodyPr/>
          <a:lstStyle/>
          <a:p>
            <a:pPr>
              <a:defRPr sz="800"/>
            </a:pPr>
            <a:endParaRPr lang="fr-FR"/>
          </a:p>
        </c:txPr>
        <c:crossAx val="335766272"/>
        <c:crosses val="autoZero"/>
        <c:crossBetween val="midCat"/>
      </c:valAx>
    </c:plotArea>
    <c:legend>
      <c:legendPos val="r"/>
      <c:layout>
        <c:manualLayout>
          <c:xMode val="edge"/>
          <c:yMode val="edge"/>
          <c:x val="0.70284689413823276"/>
          <c:y val="9.1895817377263447E-2"/>
          <c:w val="0.28881977252843394"/>
          <c:h val="0.83319349946369758"/>
        </c:manualLayout>
      </c:layout>
      <c:overlay val="0"/>
      <c:txPr>
        <a:bodyPr/>
        <a:lstStyle/>
        <a:p>
          <a:pPr>
            <a:defRPr sz="800">
              <a:latin typeface="Avenir LT Std 35 Light" pitchFamily="34" charset="0"/>
            </a:defRPr>
          </a:pPr>
          <a:endParaRPr lang="fr-FR"/>
        </a:p>
      </c:tx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571121001179199"/>
          <c:y val="2.3682648040792335E-2"/>
          <c:w val="0.51866408003347408"/>
          <c:h val="0.86643807006185092"/>
        </c:manualLayout>
      </c:layout>
      <c:barChart>
        <c:barDir val="bar"/>
        <c:grouping val="clustered"/>
        <c:varyColors val="0"/>
        <c:ser>
          <c:idx val="0"/>
          <c:order val="0"/>
          <c:tx>
            <c:strRef>
              <c:f>'Dynamique de l''emploi'!$A$101</c:f>
              <c:strCache>
                <c:ptCount val="1"/>
                <c:pt idx="0">
                  <c:v>AU Bordeaux</c:v>
                </c:pt>
              </c:strCache>
            </c:strRef>
          </c:tx>
          <c:spPr>
            <a:solidFill>
              <a:schemeClr val="accent3">
                <a:lumMod val="60000"/>
                <a:lumOff val="40000"/>
              </a:schemeClr>
            </a:solidFill>
          </c:spPr>
          <c:invertIfNegative val="0"/>
          <c:cat>
            <c:strRef>
              <c:f>'Dynamique de l''emploi'!$B$100:$M$100</c:f>
              <c:strCache>
                <c:ptCount val="12"/>
                <c:pt idx="0">
                  <c:v>Agriculture, sylviculture et pêche</c:v>
                </c:pt>
                <c:pt idx="1">
                  <c:v>Industries manufacturières, industries extractives et autres</c:v>
                </c:pt>
                <c:pt idx="2">
                  <c:v>Construction</c:v>
                </c:pt>
                <c:pt idx="3">
                  <c:v>Commerce ; réparation d'auto. et de moto.</c:v>
                </c:pt>
                <c:pt idx="4">
                  <c:v>Transport et entreposage</c:v>
                </c:pt>
                <c:pt idx="5">
                  <c:v>Hébergement et restauration</c:v>
                </c:pt>
                <c:pt idx="6">
                  <c:v>Information et communication</c:v>
                </c:pt>
                <c:pt idx="7">
                  <c:v>Activités financières et d'assurance</c:v>
                </c:pt>
                <c:pt idx="8">
                  <c:v>Activités immobilières</c:v>
                </c:pt>
                <c:pt idx="9">
                  <c:v>Activités scientifiques et techn. ; services administratifs et de soutien</c:v>
                </c:pt>
                <c:pt idx="10">
                  <c:v>Activités de droit privé liées à un service public</c:v>
                </c:pt>
                <c:pt idx="11">
                  <c:v>Autres activités de services</c:v>
                </c:pt>
              </c:strCache>
            </c:strRef>
          </c:cat>
          <c:val>
            <c:numRef>
              <c:f>'Dynamique de l''emploi'!$B$101:$M$101</c:f>
              <c:numCache>
                <c:formatCode>General</c:formatCode>
                <c:ptCount val="12"/>
                <c:pt idx="0">
                  <c:v>1.6148220375574776</c:v>
                </c:pt>
                <c:pt idx="1">
                  <c:v>0.71756964352554686</c:v>
                </c:pt>
                <c:pt idx="2">
                  <c:v>1.049909966414398</c:v>
                </c:pt>
                <c:pt idx="3">
                  <c:v>0.99645434701843794</c:v>
                </c:pt>
                <c:pt idx="4">
                  <c:v>1.1187827968303083</c:v>
                </c:pt>
                <c:pt idx="5">
                  <c:v>0.99850404746988175</c:v>
                </c:pt>
                <c:pt idx="6">
                  <c:v>1.1725658088949178</c:v>
                </c:pt>
                <c:pt idx="7">
                  <c:v>1.2063117134790871</c:v>
                </c:pt>
                <c:pt idx="8">
                  <c:v>1.1502904950659274</c:v>
                </c:pt>
                <c:pt idx="9">
                  <c:v>1.0555457227685789</c:v>
                </c:pt>
                <c:pt idx="10">
                  <c:v>1.0139064379884017</c:v>
                </c:pt>
                <c:pt idx="11">
                  <c:v>0.92890725854558931</c:v>
                </c:pt>
              </c:numCache>
            </c:numRef>
          </c:val>
          <c:extLst>
            <c:ext xmlns:c16="http://schemas.microsoft.com/office/drawing/2014/chart" uri="{C3380CC4-5D6E-409C-BE32-E72D297353CC}">
              <c16:uniqueId val="{00000000-EADA-4491-A0BB-B86D8DD3C4A1}"/>
            </c:ext>
          </c:extLst>
        </c:ser>
        <c:ser>
          <c:idx val="1"/>
          <c:order val="1"/>
          <c:tx>
            <c:strRef>
              <c:f>'Dynamique de l''emploi'!$A$102</c:f>
              <c:strCache>
                <c:ptCount val="1"/>
                <c:pt idx="0">
                  <c:v>AU Toulouse</c:v>
                </c:pt>
              </c:strCache>
            </c:strRef>
          </c:tx>
          <c:spPr>
            <a:solidFill>
              <a:schemeClr val="accent1">
                <a:lumMod val="40000"/>
                <a:lumOff val="60000"/>
              </a:schemeClr>
            </a:solidFill>
          </c:spPr>
          <c:invertIfNegative val="0"/>
          <c:cat>
            <c:strRef>
              <c:f>'Dynamique de l''emploi'!$B$100:$M$100</c:f>
              <c:strCache>
                <c:ptCount val="12"/>
                <c:pt idx="0">
                  <c:v>Agriculture, sylviculture et pêche</c:v>
                </c:pt>
                <c:pt idx="1">
                  <c:v>Industries manufacturières, industries extractives et autres</c:v>
                </c:pt>
                <c:pt idx="2">
                  <c:v>Construction</c:v>
                </c:pt>
                <c:pt idx="3">
                  <c:v>Commerce ; réparation d'auto. et de moto.</c:v>
                </c:pt>
                <c:pt idx="4">
                  <c:v>Transport et entreposage</c:v>
                </c:pt>
                <c:pt idx="5">
                  <c:v>Hébergement et restauration</c:v>
                </c:pt>
                <c:pt idx="6">
                  <c:v>Information et communication</c:v>
                </c:pt>
                <c:pt idx="7">
                  <c:v>Activités financières et d'assurance</c:v>
                </c:pt>
                <c:pt idx="8">
                  <c:v>Activités immobilières</c:v>
                </c:pt>
                <c:pt idx="9">
                  <c:v>Activités scientifiques et techn. ; services administratifs et de soutien</c:v>
                </c:pt>
                <c:pt idx="10">
                  <c:v>Activités de droit privé liées à un service public</c:v>
                </c:pt>
                <c:pt idx="11">
                  <c:v>Autres activités de services</c:v>
                </c:pt>
              </c:strCache>
            </c:strRef>
          </c:cat>
          <c:val>
            <c:numRef>
              <c:f>'Dynamique de l''emploi'!$B$102:$M$102</c:f>
              <c:numCache>
                <c:formatCode>General</c:formatCode>
                <c:ptCount val="12"/>
                <c:pt idx="0">
                  <c:v>0.26100496639871917</c:v>
                </c:pt>
                <c:pt idx="1">
                  <c:v>0.9857193330350329</c:v>
                </c:pt>
                <c:pt idx="2">
                  <c:v>0.9987799363923725</c:v>
                </c:pt>
                <c:pt idx="3">
                  <c:v>0.84914054126966265</c:v>
                </c:pt>
                <c:pt idx="4">
                  <c:v>0.99293452512505209</c:v>
                </c:pt>
                <c:pt idx="5">
                  <c:v>0.84757004424161952</c:v>
                </c:pt>
                <c:pt idx="6">
                  <c:v>1.6024898888393548</c:v>
                </c:pt>
                <c:pt idx="7">
                  <c:v>0.81689913220912647</c:v>
                </c:pt>
                <c:pt idx="8">
                  <c:v>0.98090907735623778</c:v>
                </c:pt>
                <c:pt idx="9">
                  <c:v>1.3776430053871742</c:v>
                </c:pt>
                <c:pt idx="10">
                  <c:v>0.95236946163011349</c:v>
                </c:pt>
                <c:pt idx="11">
                  <c:v>0.96161004098130454</c:v>
                </c:pt>
              </c:numCache>
            </c:numRef>
          </c:val>
          <c:extLst>
            <c:ext xmlns:c16="http://schemas.microsoft.com/office/drawing/2014/chart" uri="{C3380CC4-5D6E-409C-BE32-E72D297353CC}">
              <c16:uniqueId val="{00000001-EADA-4491-A0BB-B86D8DD3C4A1}"/>
            </c:ext>
          </c:extLst>
        </c:ser>
        <c:dLbls>
          <c:showLegendKey val="0"/>
          <c:showVal val="0"/>
          <c:showCatName val="0"/>
          <c:showSerName val="0"/>
          <c:showPercent val="0"/>
          <c:showBubbleSize val="0"/>
        </c:dLbls>
        <c:gapWidth val="150"/>
        <c:overlap val="1"/>
        <c:axId val="335805824"/>
        <c:axId val="335484032"/>
      </c:barChart>
      <c:catAx>
        <c:axId val="335805824"/>
        <c:scaling>
          <c:orientation val="minMax"/>
        </c:scaling>
        <c:delete val="0"/>
        <c:axPos val="l"/>
        <c:numFmt formatCode="General" sourceLinked="0"/>
        <c:majorTickMark val="out"/>
        <c:minorTickMark val="none"/>
        <c:tickLblPos val="low"/>
        <c:txPr>
          <a:bodyPr/>
          <a:lstStyle/>
          <a:p>
            <a:pPr>
              <a:defRPr sz="800"/>
            </a:pPr>
            <a:endParaRPr lang="fr-FR"/>
          </a:p>
        </c:txPr>
        <c:crossAx val="335484032"/>
        <c:crossesAt val="1"/>
        <c:auto val="1"/>
        <c:lblAlgn val="ctr"/>
        <c:lblOffset val="100"/>
        <c:noMultiLvlLbl val="0"/>
      </c:catAx>
      <c:valAx>
        <c:axId val="335484032"/>
        <c:scaling>
          <c:orientation val="minMax"/>
        </c:scaling>
        <c:delete val="0"/>
        <c:axPos val="b"/>
        <c:majorGridlines/>
        <c:numFmt formatCode="General" sourceLinked="1"/>
        <c:majorTickMark val="out"/>
        <c:minorTickMark val="none"/>
        <c:tickLblPos val="nextTo"/>
        <c:txPr>
          <a:bodyPr/>
          <a:lstStyle/>
          <a:p>
            <a:pPr>
              <a:defRPr sz="900"/>
            </a:pPr>
            <a:endParaRPr lang="fr-FR"/>
          </a:p>
        </c:txPr>
        <c:crossAx val="335805824"/>
        <c:crossesAt val="1"/>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8.xml"/><Relationship Id="rId7" Type="http://schemas.openxmlformats.org/officeDocument/2006/relationships/chart" Target="../charts/chart11.xml"/><Relationship Id="rId2" Type="http://schemas.openxmlformats.org/officeDocument/2006/relationships/chart" Target="../charts/chart7.xml"/><Relationship Id="rId1" Type="http://schemas.openxmlformats.org/officeDocument/2006/relationships/image" Target="../media/image2.jpe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image" Target="../media/image5.jpeg"/><Relationship Id="rId9"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3" Type="http://schemas.openxmlformats.org/officeDocument/2006/relationships/image" Target="../media/image2.jpeg"/><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4.xml"/><Relationship Id="rId1" Type="http://schemas.openxmlformats.org/officeDocument/2006/relationships/image" Target="../media/image6.jpeg"/><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7.jpeg"/><Relationship Id="rId1" Type="http://schemas.openxmlformats.org/officeDocument/2006/relationships/chart" Target="../charts/chart25.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image" Target="../media/image8.jpeg"/><Relationship Id="rId5" Type="http://schemas.openxmlformats.org/officeDocument/2006/relationships/chart" Target="../charts/chart30.xml"/><Relationship Id="rId4" Type="http://schemas.openxmlformats.org/officeDocument/2006/relationships/chart" Target="../charts/chart29.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image" Target="../media/image2.jpeg"/><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 Id="rId9" Type="http://schemas.openxmlformats.org/officeDocument/2006/relationships/chart" Target="../charts/chart3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image" Target="../media/image2.jpeg"/><Relationship Id="rId4"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image" Target="../media/image2.jpeg"/><Relationship Id="rId4" Type="http://schemas.openxmlformats.org/officeDocument/2006/relationships/chart" Target="../charts/chart44.xml"/></Relationships>
</file>

<file path=xl/drawings/_rels/drawing25.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2.jpeg"/><Relationship Id="rId1" Type="http://schemas.openxmlformats.org/officeDocument/2006/relationships/image" Target="../media/image13.jp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19050</xdr:rowOff>
    </xdr:from>
    <xdr:to>
      <xdr:col>4</xdr:col>
      <xdr:colOff>314325</xdr:colOff>
      <xdr:row>4</xdr:row>
      <xdr:rowOff>28575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9050"/>
          <a:ext cx="1590675" cy="695325"/>
        </a:xfrm>
        <a:prstGeom prst="rect">
          <a:avLst/>
        </a:prstGeom>
      </xdr:spPr>
    </xdr:pic>
    <xdr:clientData/>
  </xdr:twoCellAnchor>
  <xdr:twoCellAnchor>
    <xdr:from>
      <xdr:col>23</xdr:col>
      <xdr:colOff>342900</xdr:colOff>
      <xdr:row>17</xdr:row>
      <xdr:rowOff>66675</xdr:rowOff>
    </xdr:from>
    <xdr:to>
      <xdr:col>31</xdr:col>
      <xdr:colOff>457200</xdr:colOff>
      <xdr:row>29</xdr:row>
      <xdr:rowOff>142875</xdr:rowOff>
    </xdr:to>
    <xdr:graphicFrame macro="">
      <xdr:nvGraphicFramePr>
        <xdr:cNvPr id="3" name="Graphique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45</xdr:row>
      <xdr:rowOff>142874</xdr:rowOff>
    </xdr:from>
    <xdr:to>
      <xdr:col>19</xdr:col>
      <xdr:colOff>266699</xdr:colOff>
      <xdr:row>52</xdr:row>
      <xdr:rowOff>171449</xdr:rowOff>
    </xdr:to>
    <xdr:graphicFrame macro="">
      <xdr:nvGraphicFramePr>
        <xdr:cNvPr id="4" name="Graphique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114300</xdr:colOff>
      <xdr:row>53</xdr:row>
      <xdr:rowOff>28575</xdr:rowOff>
    </xdr:from>
    <xdr:ext cx="1590675" cy="695325"/>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300" y="9982200"/>
          <a:ext cx="1590675" cy="695325"/>
        </a:xfrm>
        <a:prstGeom prst="rect">
          <a:avLst/>
        </a:prstGeom>
      </xdr:spPr>
    </xdr:pic>
    <xdr:clientData/>
  </xdr:oneCellAnchor>
  <xdr:twoCellAnchor>
    <xdr:from>
      <xdr:col>0</xdr:col>
      <xdr:colOff>0</xdr:colOff>
      <xdr:row>72</xdr:row>
      <xdr:rowOff>19050</xdr:rowOff>
    </xdr:from>
    <xdr:to>
      <xdr:col>19</xdr:col>
      <xdr:colOff>200025</xdr:colOff>
      <xdr:row>86</xdr:row>
      <xdr:rowOff>95250</xdr:rowOff>
    </xdr:to>
    <xdr:grpSp>
      <xdr:nvGrpSpPr>
        <xdr:cNvPr id="6" name="Groupe 5">
          <a:extLst>
            <a:ext uri="{FF2B5EF4-FFF2-40B4-BE49-F238E27FC236}">
              <a16:creationId xmlns:a16="http://schemas.microsoft.com/office/drawing/2014/main" id="{00000000-0008-0000-0000-000006000000}"/>
            </a:ext>
          </a:extLst>
        </xdr:cNvPr>
        <xdr:cNvGrpSpPr/>
      </xdr:nvGrpSpPr>
      <xdr:grpSpPr>
        <a:xfrm>
          <a:off x="0" y="13716000"/>
          <a:ext cx="6172200" cy="2743200"/>
          <a:chOff x="0" y="13963650"/>
          <a:chExt cx="6534150" cy="2743200"/>
        </a:xfrm>
      </xdr:grpSpPr>
      <xdr:graphicFrame macro="">
        <xdr:nvGraphicFramePr>
          <xdr:cNvPr id="8" name="Graphique 7">
            <a:extLst>
              <a:ext uri="{FF2B5EF4-FFF2-40B4-BE49-F238E27FC236}">
                <a16:creationId xmlns:a16="http://schemas.microsoft.com/office/drawing/2014/main" id="{00000000-0008-0000-0000-000008000000}"/>
              </a:ext>
            </a:extLst>
          </xdr:cNvPr>
          <xdr:cNvGraphicFramePr/>
        </xdr:nvGraphicFramePr>
        <xdr:xfrm>
          <a:off x="0" y="13963650"/>
          <a:ext cx="4305300" cy="27432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9" name="Graphique 8">
            <a:extLst>
              <a:ext uri="{FF2B5EF4-FFF2-40B4-BE49-F238E27FC236}">
                <a16:creationId xmlns:a16="http://schemas.microsoft.com/office/drawing/2014/main" id="{00000000-0008-0000-0000-000009000000}"/>
              </a:ext>
            </a:extLst>
          </xdr:cNvPr>
          <xdr:cNvGraphicFramePr/>
        </xdr:nvGraphicFramePr>
        <xdr:xfrm>
          <a:off x="3429000" y="13963650"/>
          <a:ext cx="3105150" cy="27432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114301</xdr:colOff>
      <xdr:row>0</xdr:row>
      <xdr:rowOff>28575</xdr:rowOff>
    </xdr:from>
    <xdr:ext cx="1544894" cy="695325"/>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28575"/>
          <a:ext cx="1544894" cy="695325"/>
        </a:xfrm>
        <a:prstGeom prst="rect">
          <a:avLst/>
        </a:prstGeom>
      </xdr:spPr>
    </xdr:pic>
    <xdr:clientData/>
  </xdr:oneCellAnchor>
  <xdr:twoCellAnchor>
    <xdr:from>
      <xdr:col>0</xdr:col>
      <xdr:colOff>0</xdr:colOff>
      <xdr:row>14</xdr:row>
      <xdr:rowOff>71437</xdr:rowOff>
    </xdr:from>
    <xdr:to>
      <xdr:col>20</xdr:col>
      <xdr:colOff>0</xdr:colOff>
      <xdr:row>26</xdr:row>
      <xdr:rowOff>66675</xdr:rowOff>
    </xdr:to>
    <xdr:graphicFrame macro="">
      <xdr:nvGraphicFramePr>
        <xdr:cNvPr id="3" name="Graphique 3">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97389</xdr:colOff>
      <xdr:row>40</xdr:row>
      <xdr:rowOff>82129</xdr:rowOff>
    </xdr:from>
    <xdr:to>
      <xdr:col>21</xdr:col>
      <xdr:colOff>0</xdr:colOff>
      <xdr:row>51</xdr:row>
      <xdr:rowOff>15941</xdr:rowOff>
    </xdr:to>
    <xdr:graphicFrame macro="">
      <xdr:nvGraphicFramePr>
        <xdr:cNvPr id="5" name="Graphique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57148</xdr:colOff>
      <xdr:row>52</xdr:row>
      <xdr:rowOff>19049</xdr:rowOff>
    </xdr:from>
    <xdr:to>
      <xdr:col>4</xdr:col>
      <xdr:colOff>228599</xdr:colOff>
      <xdr:row>55</xdr:row>
      <xdr:rowOff>142349</xdr:rowOff>
    </xdr:to>
    <xdr:pic>
      <xdr:nvPicPr>
        <xdr:cNvPr id="6" name="Imag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48" y="9944099"/>
          <a:ext cx="1543051" cy="694800"/>
        </a:xfrm>
        <a:prstGeom prst="rect">
          <a:avLst/>
        </a:prstGeom>
      </xdr:spPr>
    </xdr:pic>
    <xdr:clientData/>
  </xdr:twoCellAnchor>
  <xdr:twoCellAnchor>
    <xdr:from>
      <xdr:col>0</xdr:col>
      <xdr:colOff>28575</xdr:colOff>
      <xdr:row>89</xdr:row>
      <xdr:rowOff>200024</xdr:rowOff>
    </xdr:from>
    <xdr:to>
      <xdr:col>19</xdr:col>
      <xdr:colOff>266700</xdr:colOff>
      <xdr:row>103</xdr:row>
      <xdr:rowOff>123825</xdr:rowOff>
    </xdr:to>
    <xdr:graphicFrame macro="">
      <xdr:nvGraphicFramePr>
        <xdr:cNvPr id="7" name="Graphique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114301</xdr:colOff>
      <xdr:row>105</xdr:row>
      <xdr:rowOff>28575</xdr:rowOff>
    </xdr:from>
    <xdr:ext cx="1543050" cy="695325"/>
    <xdr:pic>
      <xdr:nvPicPr>
        <xdr:cNvPr id="9" name="Image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9869150"/>
          <a:ext cx="1543050" cy="695325"/>
        </a:xfrm>
        <a:prstGeom prst="rect">
          <a:avLst/>
        </a:prstGeom>
      </xdr:spPr>
    </xdr:pic>
    <xdr:clientData/>
  </xdr:oneCellAnchor>
  <xdr:twoCellAnchor>
    <xdr:from>
      <xdr:col>0</xdr:col>
      <xdr:colOff>38100</xdr:colOff>
      <xdr:row>122</xdr:row>
      <xdr:rowOff>57150</xdr:rowOff>
    </xdr:from>
    <xdr:to>
      <xdr:col>13</xdr:col>
      <xdr:colOff>73978</xdr:colOff>
      <xdr:row>136</xdr:row>
      <xdr:rowOff>133350</xdr:rowOff>
    </xdr:to>
    <xdr:graphicFrame macro="">
      <xdr:nvGraphicFramePr>
        <xdr:cNvPr id="11" name="Graphique 10">
          <a:extLst>
            <a:ext uri="{FF2B5EF4-FFF2-40B4-BE49-F238E27FC236}">
              <a16:creationId xmlns:a16="http://schemas.microsoft.com/office/drawing/2014/main" id="{00000000-0008-0000-1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188056</xdr:colOff>
      <xdr:row>122</xdr:row>
      <xdr:rowOff>57150</xdr:rowOff>
    </xdr:from>
    <xdr:to>
      <xdr:col>20</xdr:col>
      <xdr:colOff>0</xdr:colOff>
      <xdr:row>136</xdr:row>
      <xdr:rowOff>133350</xdr:rowOff>
    </xdr:to>
    <xdr:graphicFrame macro="">
      <xdr:nvGraphicFramePr>
        <xdr:cNvPr id="12" name="Graphique 11">
          <a:extLst>
            <a:ext uri="{FF2B5EF4-FFF2-40B4-BE49-F238E27FC236}">
              <a16:creationId xmlns:a16="http://schemas.microsoft.com/office/drawing/2014/main" id="{00000000-0008-0000-1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140</xdr:row>
      <xdr:rowOff>180975</xdr:rowOff>
    </xdr:from>
    <xdr:to>
      <xdr:col>12</xdr:col>
      <xdr:colOff>276226</xdr:colOff>
      <xdr:row>156</xdr:row>
      <xdr:rowOff>66675</xdr:rowOff>
    </xdr:to>
    <xdr:graphicFrame macro="">
      <xdr:nvGraphicFramePr>
        <xdr:cNvPr id="10" name="Graphique 9">
          <a:extLst>
            <a:ext uri="{FF2B5EF4-FFF2-40B4-BE49-F238E27FC236}">
              <a16:creationId xmlns:a16="http://schemas.microsoft.com/office/drawing/2014/main" id="{00000000-0008-0000-1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257174</xdr:colOff>
      <xdr:row>141</xdr:row>
      <xdr:rowOff>28575</xdr:rowOff>
    </xdr:from>
    <xdr:to>
      <xdr:col>19</xdr:col>
      <xdr:colOff>209549</xdr:colOff>
      <xdr:row>156</xdr:row>
      <xdr:rowOff>47625</xdr:rowOff>
    </xdr:to>
    <xdr:graphicFrame macro="">
      <xdr:nvGraphicFramePr>
        <xdr:cNvPr id="15" name="Graphique 14">
          <a:extLst>
            <a:ext uri="{FF2B5EF4-FFF2-40B4-BE49-F238E27FC236}">
              <a16:creationId xmlns:a16="http://schemas.microsoft.com/office/drawing/2014/main" id="{00000000-0008-0000-1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0.59735</cdr:x>
      <cdr:y>0.15972</cdr:y>
    </cdr:from>
    <cdr:to>
      <cdr:x>0.89823</cdr:x>
      <cdr:y>0.22916</cdr:y>
    </cdr:to>
    <cdr:sp macro="" textlink="">
      <cdr:nvSpPr>
        <cdr:cNvPr id="2" name="ZoneTexte 1"/>
        <cdr:cNvSpPr txBox="1"/>
      </cdr:nvSpPr>
      <cdr:spPr>
        <a:xfrm xmlns:a="http://schemas.openxmlformats.org/drawingml/2006/main">
          <a:off x="2571750" y="438156"/>
          <a:ext cx="1295379" cy="1904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Sphère productive</a:t>
          </a:r>
        </a:p>
      </cdr:txBody>
    </cdr:sp>
  </cdr:relSizeAnchor>
  <cdr:relSizeAnchor xmlns:cdr="http://schemas.openxmlformats.org/drawingml/2006/chartDrawing">
    <cdr:from>
      <cdr:x>0.59735</cdr:x>
      <cdr:y>0.50116</cdr:y>
    </cdr:from>
    <cdr:to>
      <cdr:x>0.89824</cdr:x>
      <cdr:y>0.5706</cdr:y>
    </cdr:to>
    <cdr:sp macro="" textlink="">
      <cdr:nvSpPr>
        <cdr:cNvPr id="3" name="ZoneTexte 1"/>
        <cdr:cNvSpPr txBox="1"/>
      </cdr:nvSpPr>
      <cdr:spPr>
        <a:xfrm xmlns:a="http://schemas.openxmlformats.org/drawingml/2006/main">
          <a:off x="2571750" y="1374782"/>
          <a:ext cx="1295422" cy="1904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Sphère présentielle</a:t>
          </a:r>
        </a:p>
      </cdr:txBody>
    </cdr:sp>
  </cdr:relSizeAnchor>
  <cdr:relSizeAnchor xmlns:cdr="http://schemas.openxmlformats.org/drawingml/2006/chartDrawing">
    <cdr:from>
      <cdr:x>0.26844</cdr:x>
      <cdr:y>0.0081</cdr:y>
    </cdr:from>
    <cdr:to>
      <cdr:x>0.4646</cdr:x>
      <cdr:y>0.08681</cdr:y>
    </cdr:to>
    <cdr:sp macro="" textlink="">
      <cdr:nvSpPr>
        <cdr:cNvPr id="4" name="ZoneTexte 1"/>
        <cdr:cNvSpPr txBox="1"/>
      </cdr:nvSpPr>
      <cdr:spPr>
        <a:xfrm xmlns:a="http://schemas.openxmlformats.org/drawingml/2006/main">
          <a:off x="1155700" y="22225"/>
          <a:ext cx="844550" cy="2159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Effectif</a:t>
          </a:r>
        </a:p>
      </cdr:txBody>
    </cdr:sp>
  </cdr:relSizeAnchor>
</c:userShapes>
</file>

<file path=xl/drawings/drawing12.xml><?xml version="1.0" encoding="utf-8"?>
<c:userShapes xmlns:c="http://schemas.openxmlformats.org/drawingml/2006/chart">
  <cdr:relSizeAnchor xmlns:cdr="http://schemas.openxmlformats.org/drawingml/2006/chartDrawing">
    <cdr:from>
      <cdr:x>0.35048</cdr:x>
      <cdr:y>0</cdr:y>
    </cdr:from>
    <cdr:to>
      <cdr:x>0.74277</cdr:x>
      <cdr:y>0.10069</cdr:y>
    </cdr:to>
    <cdr:sp macro="" textlink="">
      <cdr:nvSpPr>
        <cdr:cNvPr id="2" name="ZoneTexte 1"/>
        <cdr:cNvSpPr txBox="1"/>
      </cdr:nvSpPr>
      <cdr:spPr>
        <a:xfrm xmlns:a="http://schemas.openxmlformats.org/drawingml/2006/main">
          <a:off x="1038225" y="0"/>
          <a:ext cx="116205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Etablissement</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57151</xdr:colOff>
      <xdr:row>0</xdr:row>
      <xdr:rowOff>19050</xdr:rowOff>
    </xdr:from>
    <xdr:to>
      <xdr:col>4</xdr:col>
      <xdr:colOff>271463</xdr:colOff>
      <xdr:row>4</xdr:row>
      <xdr:rowOff>9719</xdr:rowOff>
    </xdr:to>
    <xdr:pic>
      <xdr:nvPicPr>
        <xdr:cNvPr id="2" name="Imag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19050"/>
          <a:ext cx="1547812" cy="695519"/>
        </a:xfrm>
        <a:prstGeom prst="rect">
          <a:avLst/>
        </a:prstGeom>
      </xdr:spPr>
    </xdr:pic>
    <xdr:clientData/>
  </xdr:twoCellAnchor>
  <xdr:twoCellAnchor>
    <xdr:from>
      <xdr:col>0</xdr:col>
      <xdr:colOff>69056</xdr:colOff>
      <xdr:row>18</xdr:row>
      <xdr:rowOff>146448</xdr:rowOff>
    </xdr:from>
    <xdr:to>
      <xdr:col>12</xdr:col>
      <xdr:colOff>135731</xdr:colOff>
      <xdr:row>29</xdr:row>
      <xdr:rowOff>149168</xdr:rowOff>
    </xdr:to>
    <xdr:graphicFrame macro="">
      <xdr:nvGraphicFramePr>
        <xdr:cNvPr id="4" name="Graphique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57150</xdr:colOff>
      <xdr:row>55</xdr:row>
      <xdr:rowOff>9720</xdr:rowOff>
    </xdr:from>
    <xdr:ext cx="1576337" cy="694800"/>
    <xdr:pic>
      <xdr:nvPicPr>
        <xdr:cNvPr id="5" name="Imag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9829995"/>
          <a:ext cx="1576337" cy="694800"/>
        </a:xfrm>
        <a:prstGeom prst="rect">
          <a:avLst/>
        </a:prstGeom>
      </xdr:spPr>
    </xdr:pic>
    <xdr:clientData/>
  </xdr:oneCellAnchor>
  <xdr:twoCellAnchor>
    <xdr:from>
      <xdr:col>0</xdr:col>
      <xdr:colOff>10886</xdr:colOff>
      <xdr:row>37</xdr:row>
      <xdr:rowOff>20602</xdr:rowOff>
    </xdr:from>
    <xdr:to>
      <xdr:col>19</xdr:col>
      <xdr:colOff>215577</xdr:colOff>
      <xdr:row>53</xdr:row>
      <xdr:rowOff>152399</xdr:rowOff>
    </xdr:to>
    <xdr:graphicFrame macro="">
      <xdr:nvGraphicFramePr>
        <xdr:cNvPr id="6" name="Graphique 5">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27384</xdr:colOff>
      <xdr:row>76</xdr:row>
      <xdr:rowOff>112712</xdr:rowOff>
    </xdr:from>
    <xdr:to>
      <xdr:col>19</xdr:col>
      <xdr:colOff>326628</xdr:colOff>
      <xdr:row>94</xdr:row>
      <xdr:rowOff>182530</xdr:rowOff>
    </xdr:to>
    <xdr:graphicFrame macro="">
      <xdr:nvGraphicFramePr>
        <xdr:cNvPr id="7" name="Graphique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38100</xdr:colOff>
      <xdr:row>111</xdr:row>
      <xdr:rowOff>9525</xdr:rowOff>
    </xdr:from>
    <xdr:ext cx="1545016" cy="694800"/>
    <xdr:pic>
      <xdr:nvPicPr>
        <xdr:cNvPr id="9" name="Image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 y="19621500"/>
          <a:ext cx="1545016" cy="694800"/>
        </a:xfrm>
        <a:prstGeom prst="rect">
          <a:avLst/>
        </a:prstGeom>
      </xdr:spPr>
    </xdr:pic>
    <xdr:clientData/>
  </xdr:oneCellAnchor>
  <xdr:twoCellAnchor>
    <xdr:from>
      <xdr:col>0</xdr:col>
      <xdr:colOff>38100</xdr:colOff>
      <xdr:row>96</xdr:row>
      <xdr:rowOff>148828</xdr:rowOff>
    </xdr:from>
    <xdr:to>
      <xdr:col>19</xdr:col>
      <xdr:colOff>47614</xdr:colOff>
      <xdr:row>111</xdr:row>
      <xdr:rowOff>0</xdr:rowOff>
    </xdr:to>
    <xdr:graphicFrame macro="">
      <xdr:nvGraphicFramePr>
        <xdr:cNvPr id="10" name="Graphique 7">
          <a:extLst>
            <a:ext uri="{FF2B5EF4-FFF2-40B4-BE49-F238E27FC236}">
              <a16:creationId xmlns:a16="http://schemas.microsoft.com/office/drawing/2014/main" id="{00000000-0008-0000-1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153284</xdr:colOff>
      <xdr:row>96</xdr:row>
      <xdr:rowOff>188239</xdr:rowOff>
    </xdr:from>
    <xdr:to>
      <xdr:col>14</xdr:col>
      <xdr:colOff>9525</xdr:colOff>
      <xdr:row>109</xdr:row>
      <xdr:rowOff>73654</xdr:rowOff>
    </xdr:to>
    <xdr:graphicFrame macro="">
      <xdr:nvGraphicFramePr>
        <xdr:cNvPr id="11" name="Graphique 8">
          <a:extLst>
            <a:ext uri="{FF2B5EF4-FFF2-40B4-BE49-F238E27FC236}">
              <a16:creationId xmlns:a16="http://schemas.microsoft.com/office/drawing/2014/main" id="{00000000-0008-0000-1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314858</xdr:colOff>
      <xdr:row>96</xdr:row>
      <xdr:rowOff>181793</xdr:rowOff>
    </xdr:from>
    <xdr:to>
      <xdr:col>20</xdr:col>
      <xdr:colOff>76200</xdr:colOff>
      <xdr:row>109</xdr:row>
      <xdr:rowOff>66893</xdr:rowOff>
    </xdr:to>
    <xdr:graphicFrame macro="">
      <xdr:nvGraphicFramePr>
        <xdr:cNvPr id="12" name="Graphique 9">
          <a:extLst>
            <a:ext uri="{FF2B5EF4-FFF2-40B4-BE49-F238E27FC236}">
              <a16:creationId xmlns:a16="http://schemas.microsoft.com/office/drawing/2014/main" id="{00000000-0008-0000-1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28073</xdr:colOff>
      <xdr:row>151</xdr:row>
      <xdr:rowOff>49630</xdr:rowOff>
    </xdr:from>
    <xdr:to>
      <xdr:col>12</xdr:col>
      <xdr:colOff>275722</xdr:colOff>
      <xdr:row>165</xdr:row>
      <xdr:rowOff>123825</xdr:rowOff>
    </xdr:to>
    <xdr:graphicFrame macro="">
      <xdr:nvGraphicFramePr>
        <xdr:cNvPr id="15" name="Graphique 10">
          <a:extLst>
            <a:ext uri="{FF2B5EF4-FFF2-40B4-BE49-F238E27FC236}">
              <a16:creationId xmlns:a16="http://schemas.microsoft.com/office/drawing/2014/main" id="{00000000-0008-0000-15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0</xdr:col>
      <xdr:colOff>38100</xdr:colOff>
      <xdr:row>166</xdr:row>
      <xdr:rowOff>9525</xdr:rowOff>
    </xdr:from>
    <xdr:ext cx="1545016" cy="694800"/>
    <xdr:pic>
      <xdr:nvPicPr>
        <xdr:cNvPr id="16" name="Imag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 y="29508450"/>
          <a:ext cx="1545016" cy="694800"/>
        </a:xfrm>
        <a:prstGeom prst="rect">
          <a:avLst/>
        </a:prstGeom>
      </xdr:spPr>
    </xdr:pic>
    <xdr:clientData/>
  </xdr:oneCellAnchor>
  <xdr:twoCellAnchor>
    <xdr:from>
      <xdr:col>8</xdr:col>
      <xdr:colOff>120205</xdr:colOff>
      <xdr:row>178</xdr:row>
      <xdr:rowOff>19439</xdr:rowOff>
    </xdr:from>
    <xdr:to>
      <xdr:col>19</xdr:col>
      <xdr:colOff>260992</xdr:colOff>
      <xdr:row>194</xdr:row>
      <xdr:rowOff>48598</xdr:rowOff>
    </xdr:to>
    <xdr:graphicFrame macro="">
      <xdr:nvGraphicFramePr>
        <xdr:cNvPr id="18" name="Graphique 17">
          <a:extLst>
            <a:ext uri="{FF2B5EF4-FFF2-40B4-BE49-F238E27FC236}">
              <a16:creationId xmlns:a16="http://schemas.microsoft.com/office/drawing/2014/main" id="{00000000-0008-0000-15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196</xdr:row>
      <xdr:rowOff>14286</xdr:rowOff>
    </xdr:from>
    <xdr:to>
      <xdr:col>13</xdr:col>
      <xdr:colOff>117078</xdr:colOff>
      <xdr:row>207</xdr:row>
      <xdr:rowOff>169069</xdr:rowOff>
    </xdr:to>
    <xdr:graphicFrame macro="">
      <xdr:nvGraphicFramePr>
        <xdr:cNvPr id="19" name="Graphique 15">
          <a:extLst>
            <a:ext uri="{FF2B5EF4-FFF2-40B4-BE49-F238E27FC236}">
              <a16:creationId xmlns:a16="http://schemas.microsoft.com/office/drawing/2014/main" id="{00000000-0008-0000-15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18256</xdr:colOff>
      <xdr:row>209</xdr:row>
      <xdr:rowOff>28576</xdr:rowOff>
    </xdr:from>
    <xdr:to>
      <xdr:col>13</xdr:col>
      <xdr:colOff>171450</xdr:colOff>
      <xdr:row>220</xdr:row>
      <xdr:rowOff>123826</xdr:rowOff>
    </xdr:to>
    <xdr:graphicFrame macro="">
      <xdr:nvGraphicFramePr>
        <xdr:cNvPr id="21" name="Graphique 17">
          <a:extLst>
            <a:ext uri="{FF2B5EF4-FFF2-40B4-BE49-F238E27FC236}">
              <a16:creationId xmlns:a16="http://schemas.microsoft.com/office/drawing/2014/main" id="{00000000-0008-0000-15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52387</xdr:colOff>
      <xdr:row>131</xdr:row>
      <xdr:rowOff>33336</xdr:rowOff>
    </xdr:from>
    <xdr:to>
      <xdr:col>20</xdr:col>
      <xdr:colOff>28575</xdr:colOff>
      <xdr:row>149</xdr:row>
      <xdr:rowOff>28574</xdr:rowOff>
    </xdr:to>
    <xdr:graphicFrame macro="">
      <xdr:nvGraphicFramePr>
        <xdr:cNvPr id="8" name="Graphique 1">
          <a:extLst>
            <a:ext uri="{FF2B5EF4-FFF2-40B4-BE49-F238E27FC236}">
              <a16:creationId xmlns:a16="http://schemas.microsoft.com/office/drawing/2014/main" id="{00000000-0008-0000-1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0.07481</cdr:x>
      <cdr:y>0.04198</cdr:y>
    </cdr:from>
    <cdr:to>
      <cdr:x>0.35725</cdr:x>
      <cdr:y>0.17557</cdr:y>
    </cdr:to>
    <cdr:sp macro="" textlink="">
      <cdr:nvSpPr>
        <cdr:cNvPr id="2" name="ZoneTexte 1"/>
        <cdr:cNvSpPr txBox="1"/>
      </cdr:nvSpPr>
      <cdr:spPr>
        <a:xfrm xmlns:a="http://schemas.openxmlformats.org/drawingml/2006/main">
          <a:off x="466725" y="104775"/>
          <a:ext cx="1762125"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1000" b="1"/>
            <a:t>Nouvelle Aquitaine</a:t>
          </a:r>
        </a:p>
      </cdr:txBody>
    </cdr:sp>
  </cdr:relSizeAnchor>
</c:userShapes>
</file>

<file path=xl/drawings/drawing15.xml><?xml version="1.0" encoding="utf-8"?>
<c:userShapes xmlns:c="http://schemas.openxmlformats.org/drawingml/2006/chart">
  <cdr:relSizeAnchor xmlns:cdr="http://schemas.openxmlformats.org/drawingml/2006/chartDrawing">
    <cdr:from>
      <cdr:x>0.07556</cdr:x>
      <cdr:y>0.04185</cdr:y>
    </cdr:from>
    <cdr:to>
      <cdr:x>0.98667</cdr:x>
      <cdr:y>0.1988</cdr:y>
    </cdr:to>
    <cdr:sp macro="" textlink="">
      <cdr:nvSpPr>
        <cdr:cNvPr id="2" name="ZoneTexte 1"/>
        <cdr:cNvSpPr txBox="1"/>
      </cdr:nvSpPr>
      <cdr:spPr>
        <a:xfrm xmlns:a="http://schemas.openxmlformats.org/drawingml/2006/main">
          <a:off x="161926" y="88900"/>
          <a:ext cx="1952624" cy="3333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000" b="1"/>
            <a:t>Gironde</a:t>
          </a:r>
        </a:p>
      </cdr:txBody>
    </cdr:sp>
  </cdr:relSizeAnchor>
</c:userShapes>
</file>

<file path=xl/drawings/drawing16.xml><?xml version="1.0" encoding="utf-8"?>
<c:userShapes xmlns:c="http://schemas.openxmlformats.org/drawingml/2006/chart">
  <cdr:relSizeAnchor xmlns:cdr="http://schemas.openxmlformats.org/drawingml/2006/chartDrawing">
    <cdr:from>
      <cdr:x>0.01442</cdr:x>
      <cdr:y>0.04572</cdr:y>
    </cdr:from>
    <cdr:to>
      <cdr:x>0.97596</cdr:x>
      <cdr:y>0.20059</cdr:y>
    </cdr:to>
    <cdr:sp macro="" textlink="">
      <cdr:nvSpPr>
        <cdr:cNvPr id="2" name="ZoneTexte 1"/>
        <cdr:cNvSpPr txBox="1"/>
      </cdr:nvSpPr>
      <cdr:spPr>
        <a:xfrm xmlns:a="http://schemas.openxmlformats.org/drawingml/2006/main">
          <a:off x="28575" y="98425"/>
          <a:ext cx="1905000" cy="3333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000" b="1"/>
            <a:t>Bordeaux Métropole</a:t>
          </a:r>
        </a:p>
      </cdr:txBody>
    </cdr:sp>
  </cdr:relSizeAnchor>
</c:userShapes>
</file>

<file path=xl/drawings/drawing17.xml><?xml version="1.0" encoding="utf-8"?>
<c:userShapes xmlns:c="http://schemas.openxmlformats.org/drawingml/2006/chart">
  <cdr:relSizeAnchor xmlns:cdr="http://schemas.openxmlformats.org/drawingml/2006/chartDrawing">
    <cdr:from>
      <cdr:x>0.00648</cdr:x>
      <cdr:y>0.16565</cdr:y>
    </cdr:from>
    <cdr:to>
      <cdr:x>0.08106</cdr:x>
      <cdr:y>0.23008</cdr:y>
    </cdr:to>
    <cdr:sp macro="" textlink="">
      <cdr:nvSpPr>
        <cdr:cNvPr id="2" name="ZoneTexte 1"/>
        <cdr:cNvSpPr txBox="1"/>
      </cdr:nvSpPr>
      <cdr:spPr>
        <a:xfrm xmlns:a="http://schemas.openxmlformats.org/drawingml/2006/main">
          <a:off x="24701" y="489340"/>
          <a:ext cx="284513" cy="190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900" b="1" i="1"/>
            <a:t>en %</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1259</xdr:colOff>
      <xdr:row>25</xdr:row>
      <xdr:rowOff>167764</xdr:rowOff>
    </xdr:from>
    <xdr:to>
      <xdr:col>18</xdr:col>
      <xdr:colOff>314325</xdr:colOff>
      <xdr:row>35</xdr:row>
      <xdr:rowOff>96327</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76200</xdr:rowOff>
    </xdr:from>
    <xdr:to>
      <xdr:col>4</xdr:col>
      <xdr:colOff>335635</xdr:colOff>
      <xdr:row>3</xdr:row>
      <xdr:rowOff>57150</xdr:rowOff>
    </xdr:to>
    <xdr:pic>
      <xdr:nvPicPr>
        <xdr:cNvPr id="5" name="Imag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76200"/>
          <a:ext cx="1383384" cy="609600"/>
        </a:xfrm>
        <a:prstGeom prst="rect">
          <a:avLst/>
        </a:prstGeom>
      </xdr:spPr>
    </xdr:pic>
    <xdr:clientData/>
  </xdr:twoCellAnchor>
  <xdr:twoCellAnchor>
    <xdr:from>
      <xdr:col>4</xdr:col>
      <xdr:colOff>257175</xdr:colOff>
      <xdr:row>37</xdr:row>
      <xdr:rowOff>60325</xdr:rowOff>
    </xdr:from>
    <xdr:to>
      <xdr:col>18</xdr:col>
      <xdr:colOff>244474</xdr:colOff>
      <xdr:row>48</xdr:row>
      <xdr:rowOff>41275</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66674</xdr:colOff>
      <xdr:row>0</xdr:row>
      <xdr:rowOff>47625</xdr:rowOff>
    </xdr:from>
    <xdr:to>
      <xdr:col>4</xdr:col>
      <xdr:colOff>201374</xdr:colOff>
      <xdr:row>3</xdr:row>
      <xdr:rowOff>103002</xdr:rowOff>
    </xdr:to>
    <xdr:pic>
      <xdr:nvPicPr>
        <xdr:cNvPr id="2" name="Imag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4" y="47625"/>
          <a:ext cx="1544400" cy="684027"/>
        </a:xfrm>
        <a:prstGeom prst="rect">
          <a:avLst/>
        </a:prstGeom>
      </xdr:spPr>
    </xdr:pic>
    <xdr:clientData/>
  </xdr:twoCellAnchor>
  <xdr:twoCellAnchor>
    <xdr:from>
      <xdr:col>4</xdr:col>
      <xdr:colOff>214312</xdr:colOff>
      <xdr:row>27</xdr:row>
      <xdr:rowOff>123825</xdr:rowOff>
    </xdr:from>
    <xdr:to>
      <xdr:col>16</xdr:col>
      <xdr:colOff>9525</xdr:colOff>
      <xdr:row>35</xdr:row>
      <xdr:rowOff>39825</xdr:rowOff>
    </xdr:to>
    <xdr:graphicFrame macro="">
      <xdr:nvGraphicFramePr>
        <xdr:cNvPr id="4" name="Graphique 3">
          <a:extLst>
            <a:ext uri="{FF2B5EF4-FFF2-40B4-BE49-F238E27FC236}">
              <a16:creationId xmlns:a16="http://schemas.microsoft.com/office/drawing/2014/main" id="{00000000-0008-0000-17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14288</xdr:colOff>
      <xdr:row>27</xdr:row>
      <xdr:rowOff>123825</xdr:rowOff>
    </xdr:from>
    <xdr:to>
      <xdr:col>18</xdr:col>
      <xdr:colOff>333374</xdr:colOff>
      <xdr:row>35</xdr:row>
      <xdr:rowOff>39825</xdr:rowOff>
    </xdr:to>
    <xdr:graphicFrame macro="">
      <xdr:nvGraphicFramePr>
        <xdr:cNvPr id="5" name="Graphique 4">
          <a:extLst>
            <a:ext uri="{FF2B5EF4-FFF2-40B4-BE49-F238E27FC236}">
              <a16:creationId xmlns:a16="http://schemas.microsoft.com/office/drawing/2014/main" id="{00000000-0008-0000-17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33337</xdr:colOff>
      <xdr:row>41</xdr:row>
      <xdr:rowOff>76200</xdr:rowOff>
    </xdr:from>
    <xdr:to>
      <xdr:col>15</xdr:col>
      <xdr:colOff>90487</xdr:colOff>
      <xdr:row>49</xdr:row>
      <xdr:rowOff>142875</xdr:rowOff>
    </xdr:to>
    <xdr:graphicFrame macro="">
      <xdr:nvGraphicFramePr>
        <xdr:cNvPr id="7" name="Graphique 6">
          <a:extLst>
            <a:ext uri="{FF2B5EF4-FFF2-40B4-BE49-F238E27FC236}">
              <a16:creationId xmlns:a16="http://schemas.microsoft.com/office/drawing/2014/main" id="{00000000-0008-0000-17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52386</xdr:colOff>
      <xdr:row>41</xdr:row>
      <xdr:rowOff>133349</xdr:rowOff>
    </xdr:from>
    <xdr:to>
      <xdr:col>19</xdr:col>
      <xdr:colOff>190499</xdr:colOff>
      <xdr:row>49</xdr:row>
      <xdr:rowOff>123825</xdr:rowOff>
    </xdr:to>
    <xdr:graphicFrame macro="">
      <xdr:nvGraphicFramePr>
        <xdr:cNvPr id="8" name="Graphique 7">
          <a:extLst>
            <a:ext uri="{FF2B5EF4-FFF2-40B4-BE49-F238E27FC236}">
              <a16:creationId xmlns:a16="http://schemas.microsoft.com/office/drawing/2014/main" id="{00000000-0008-0000-17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0.59735</cdr:x>
      <cdr:y>0.15972</cdr:y>
    </cdr:from>
    <cdr:to>
      <cdr:x>0.89823</cdr:x>
      <cdr:y>0.22916</cdr:y>
    </cdr:to>
    <cdr:sp macro="" textlink="">
      <cdr:nvSpPr>
        <cdr:cNvPr id="2" name="ZoneTexte 1"/>
        <cdr:cNvSpPr txBox="1"/>
      </cdr:nvSpPr>
      <cdr:spPr>
        <a:xfrm xmlns:a="http://schemas.openxmlformats.org/drawingml/2006/main">
          <a:off x="2571750" y="438156"/>
          <a:ext cx="1295379" cy="1904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Sphère productive</a:t>
          </a:r>
        </a:p>
      </cdr:txBody>
    </cdr:sp>
  </cdr:relSizeAnchor>
  <cdr:relSizeAnchor xmlns:cdr="http://schemas.openxmlformats.org/drawingml/2006/chartDrawing">
    <cdr:from>
      <cdr:x>0.59735</cdr:x>
      <cdr:y>0.50116</cdr:y>
    </cdr:from>
    <cdr:to>
      <cdr:x>0.89824</cdr:x>
      <cdr:y>0.5706</cdr:y>
    </cdr:to>
    <cdr:sp macro="" textlink="">
      <cdr:nvSpPr>
        <cdr:cNvPr id="3" name="ZoneTexte 1"/>
        <cdr:cNvSpPr txBox="1"/>
      </cdr:nvSpPr>
      <cdr:spPr>
        <a:xfrm xmlns:a="http://schemas.openxmlformats.org/drawingml/2006/main">
          <a:off x="2571750" y="1374782"/>
          <a:ext cx="1295422" cy="1904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Sphère présentielle</a:t>
          </a:r>
        </a:p>
      </cdr:txBody>
    </cdr:sp>
  </cdr:relSizeAnchor>
  <cdr:relSizeAnchor xmlns:cdr="http://schemas.openxmlformats.org/drawingml/2006/chartDrawing">
    <cdr:from>
      <cdr:x>0.26844</cdr:x>
      <cdr:y>0.0081</cdr:y>
    </cdr:from>
    <cdr:to>
      <cdr:x>0.4646</cdr:x>
      <cdr:y>0.08681</cdr:y>
    </cdr:to>
    <cdr:sp macro="" textlink="">
      <cdr:nvSpPr>
        <cdr:cNvPr id="4" name="ZoneTexte 1"/>
        <cdr:cNvSpPr txBox="1"/>
      </cdr:nvSpPr>
      <cdr:spPr>
        <a:xfrm xmlns:a="http://schemas.openxmlformats.org/drawingml/2006/main">
          <a:off x="1155700" y="22225"/>
          <a:ext cx="844550" cy="2159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Effectif</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47431</xdr:colOff>
      <xdr:row>0</xdr:row>
      <xdr:rowOff>27797</xdr:rowOff>
    </xdr:from>
    <xdr:to>
      <xdr:col>4</xdr:col>
      <xdr:colOff>226851</xdr:colOff>
      <xdr:row>3</xdr:row>
      <xdr:rowOff>107674</xdr:rowOff>
    </xdr:to>
    <xdr:pic>
      <xdr:nvPicPr>
        <xdr:cNvPr id="2" name="Imag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431" y="27797"/>
          <a:ext cx="1551020" cy="708527"/>
        </a:xfrm>
        <a:prstGeom prst="rect">
          <a:avLst/>
        </a:prstGeom>
      </xdr:spPr>
    </xdr:pic>
    <xdr:clientData/>
  </xdr:twoCellAnchor>
  <xdr:twoCellAnchor>
    <xdr:from>
      <xdr:col>0</xdr:col>
      <xdr:colOff>0</xdr:colOff>
      <xdr:row>11</xdr:row>
      <xdr:rowOff>29161</xdr:rowOff>
    </xdr:from>
    <xdr:to>
      <xdr:col>13</xdr:col>
      <xdr:colOff>193287</xdr:colOff>
      <xdr:row>25</xdr:row>
      <xdr:rowOff>138503</xdr:rowOff>
    </xdr:to>
    <xdr:graphicFrame macro="">
      <xdr:nvGraphicFramePr>
        <xdr:cNvPr id="3" name="Graphique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225517</xdr:colOff>
      <xdr:row>11</xdr:row>
      <xdr:rowOff>23620</xdr:rowOff>
    </xdr:from>
    <xdr:to>
      <xdr:col>19</xdr:col>
      <xdr:colOff>281863</xdr:colOff>
      <xdr:row>25</xdr:row>
      <xdr:rowOff>109539</xdr:rowOff>
    </xdr:to>
    <xdr:graphicFrame macro="">
      <xdr:nvGraphicFramePr>
        <xdr:cNvPr id="4" name="Graphique 3">
          <a:extLst>
            <a:ext uri="{FF2B5EF4-FFF2-40B4-BE49-F238E27FC236}">
              <a16:creationId xmlns:a16="http://schemas.microsoft.com/office/drawing/2014/main" id="{00000000-0008-0000-1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57150</xdr:colOff>
      <xdr:row>52</xdr:row>
      <xdr:rowOff>66676</xdr:rowOff>
    </xdr:from>
    <xdr:ext cx="1590675" cy="623402"/>
    <xdr:pic>
      <xdr:nvPicPr>
        <xdr:cNvPr id="7" name="Imag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0378946"/>
          <a:ext cx="1590675" cy="623402"/>
        </a:xfrm>
        <a:prstGeom prst="rect">
          <a:avLst/>
        </a:prstGeom>
      </xdr:spPr>
    </xdr:pic>
    <xdr:clientData/>
  </xdr:oneCellAnchor>
  <xdr:twoCellAnchor>
    <xdr:from>
      <xdr:col>0</xdr:col>
      <xdr:colOff>0</xdr:colOff>
      <xdr:row>60</xdr:row>
      <xdr:rowOff>175629</xdr:rowOff>
    </xdr:from>
    <xdr:to>
      <xdr:col>10</xdr:col>
      <xdr:colOff>266700</xdr:colOff>
      <xdr:row>72</xdr:row>
      <xdr:rowOff>18467</xdr:rowOff>
    </xdr:to>
    <xdr:graphicFrame macro="">
      <xdr:nvGraphicFramePr>
        <xdr:cNvPr id="10" name="Graphique 9">
          <a:extLst>
            <a:ext uri="{FF2B5EF4-FFF2-40B4-BE49-F238E27FC236}">
              <a16:creationId xmlns:a16="http://schemas.microsoft.com/office/drawing/2014/main" id="{00000000-0008-0000-1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287111</xdr:colOff>
      <xdr:row>60</xdr:row>
      <xdr:rowOff>145209</xdr:rowOff>
    </xdr:from>
    <xdr:to>
      <xdr:col>19</xdr:col>
      <xdr:colOff>306162</xdr:colOff>
      <xdr:row>71</xdr:row>
      <xdr:rowOff>83977</xdr:rowOff>
    </xdr:to>
    <xdr:graphicFrame macro="">
      <xdr:nvGraphicFramePr>
        <xdr:cNvPr id="11" name="Graphique 10">
          <a:extLst>
            <a:ext uri="{FF2B5EF4-FFF2-40B4-BE49-F238E27FC236}">
              <a16:creationId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57150</xdr:colOff>
      <xdr:row>52</xdr:row>
      <xdr:rowOff>66676</xdr:rowOff>
    </xdr:from>
    <xdr:ext cx="1590675" cy="623402"/>
    <xdr:pic>
      <xdr:nvPicPr>
        <xdr:cNvPr id="12" name="Image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0417824"/>
          <a:ext cx="1590675" cy="623402"/>
        </a:xfrm>
        <a:prstGeom prst="rect">
          <a:avLst/>
        </a:prstGeom>
      </xdr:spPr>
    </xdr:pic>
    <xdr:clientData/>
  </xdr:oneCellAnchor>
  <xdr:oneCellAnchor>
    <xdr:from>
      <xdr:col>0</xdr:col>
      <xdr:colOff>57150</xdr:colOff>
      <xdr:row>96</xdr:row>
      <xdr:rowOff>66676</xdr:rowOff>
    </xdr:from>
    <xdr:ext cx="1590675" cy="623402"/>
    <xdr:pic>
      <xdr:nvPicPr>
        <xdr:cNvPr id="13" name="Image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0417824"/>
          <a:ext cx="1590675" cy="623402"/>
        </a:xfrm>
        <a:prstGeom prst="rect">
          <a:avLst/>
        </a:prstGeom>
      </xdr:spPr>
    </xdr:pic>
    <xdr:clientData/>
  </xdr:oneCellAnchor>
  <xdr:oneCellAnchor>
    <xdr:from>
      <xdr:col>0</xdr:col>
      <xdr:colOff>66870</xdr:colOff>
      <xdr:row>96</xdr:row>
      <xdr:rowOff>58315</xdr:rowOff>
    </xdr:from>
    <xdr:ext cx="1590675" cy="699798"/>
    <xdr:pic>
      <xdr:nvPicPr>
        <xdr:cNvPr id="14" name="Image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70" y="19641715"/>
          <a:ext cx="1590675" cy="699798"/>
        </a:xfrm>
        <a:prstGeom prst="rect">
          <a:avLst/>
        </a:prstGeom>
      </xdr:spPr>
    </xdr:pic>
    <xdr:clientData/>
  </xdr:oneCellAnchor>
  <xdr:twoCellAnchor>
    <xdr:from>
      <xdr:col>0</xdr:col>
      <xdr:colOff>18856</xdr:colOff>
      <xdr:row>107</xdr:row>
      <xdr:rowOff>10789</xdr:rowOff>
    </xdr:from>
    <xdr:to>
      <xdr:col>19</xdr:col>
      <xdr:colOff>330459</xdr:colOff>
      <xdr:row>121</xdr:row>
      <xdr:rowOff>32559</xdr:rowOff>
    </xdr:to>
    <xdr:graphicFrame macro="">
      <xdr:nvGraphicFramePr>
        <xdr:cNvPr id="8" name="Graphique 2">
          <a:extLst>
            <a:ext uri="{FF2B5EF4-FFF2-40B4-BE49-F238E27FC236}">
              <a16:creationId xmlns:a16="http://schemas.microsoft.com/office/drawing/2014/main" id="{00000000-0008-0000-1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218978</xdr:colOff>
      <xdr:row>29</xdr:row>
      <xdr:rowOff>35281</xdr:rowOff>
    </xdr:from>
    <xdr:to>
      <xdr:col>20</xdr:col>
      <xdr:colOff>106913</xdr:colOff>
      <xdr:row>49</xdr:row>
      <xdr:rowOff>174949</xdr:rowOff>
    </xdr:to>
    <xdr:graphicFrame macro="">
      <xdr:nvGraphicFramePr>
        <xdr:cNvPr id="6" name="Graphique 1">
          <a:extLst>
            <a:ext uri="{FF2B5EF4-FFF2-40B4-BE49-F238E27FC236}">
              <a16:creationId xmlns:a16="http://schemas.microsoft.com/office/drawing/2014/main" id="{00000000-0008-0000-1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6026</xdr:colOff>
      <xdr:row>132</xdr:row>
      <xdr:rowOff>193804</xdr:rowOff>
    </xdr:from>
    <xdr:to>
      <xdr:col>19</xdr:col>
      <xdr:colOff>223546</xdr:colOff>
      <xdr:row>148</xdr:row>
      <xdr:rowOff>87475</xdr:rowOff>
    </xdr:to>
    <xdr:graphicFrame macro="">
      <xdr:nvGraphicFramePr>
        <xdr:cNvPr id="15" name="Graphique 1">
          <a:extLst>
            <a:ext uri="{FF2B5EF4-FFF2-40B4-BE49-F238E27FC236}">
              <a16:creationId xmlns:a16="http://schemas.microsoft.com/office/drawing/2014/main" id="{00000000-0008-0000-18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xdr:colOff>
      <xdr:row>172</xdr:row>
      <xdr:rowOff>50541</xdr:rowOff>
    </xdr:from>
    <xdr:to>
      <xdr:col>19</xdr:col>
      <xdr:colOff>215926</xdr:colOff>
      <xdr:row>189</xdr:row>
      <xdr:rowOff>47624</xdr:rowOff>
    </xdr:to>
    <xdr:graphicFrame macro="">
      <xdr:nvGraphicFramePr>
        <xdr:cNvPr id="16" name="Graphique 1">
          <a:extLst>
            <a:ext uri="{FF2B5EF4-FFF2-40B4-BE49-F238E27FC236}">
              <a16:creationId xmlns:a16="http://schemas.microsoft.com/office/drawing/2014/main" id="{00000000-0008-0000-1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0</xdr:col>
      <xdr:colOff>57150</xdr:colOff>
      <xdr:row>149</xdr:row>
      <xdr:rowOff>66676</xdr:rowOff>
    </xdr:from>
    <xdr:ext cx="1590675" cy="623402"/>
    <xdr:pic>
      <xdr:nvPicPr>
        <xdr:cNvPr id="19" name="Image 18">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9650076"/>
          <a:ext cx="1590675" cy="623402"/>
        </a:xfrm>
        <a:prstGeom prst="rect">
          <a:avLst/>
        </a:prstGeom>
      </xdr:spPr>
    </xdr:pic>
    <xdr:clientData/>
  </xdr:oneCellAnchor>
  <xdr:oneCellAnchor>
    <xdr:from>
      <xdr:col>0</xdr:col>
      <xdr:colOff>66870</xdr:colOff>
      <xdr:row>149</xdr:row>
      <xdr:rowOff>58315</xdr:rowOff>
    </xdr:from>
    <xdr:ext cx="1590675" cy="699798"/>
    <xdr:pic>
      <xdr:nvPicPr>
        <xdr:cNvPr id="20" name="Image 19">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70" y="19641715"/>
          <a:ext cx="1590675" cy="699798"/>
        </a:xfrm>
        <a:prstGeom prst="rect">
          <a:avLst/>
        </a:prstGeom>
      </xdr:spPr>
    </xdr:pic>
    <xdr:clientData/>
  </xdr:oneCellAnchor>
</xdr:wsDr>
</file>

<file path=xl/drawings/drawing21.xml><?xml version="1.0" encoding="utf-8"?>
<c:userShapes xmlns:c="http://schemas.openxmlformats.org/drawingml/2006/chart">
  <cdr:relSizeAnchor xmlns:cdr="http://schemas.openxmlformats.org/drawingml/2006/chartDrawing">
    <cdr:from>
      <cdr:x>0.09562</cdr:x>
      <cdr:y>0.41467</cdr:y>
    </cdr:from>
    <cdr:to>
      <cdr:x>0.84058</cdr:x>
      <cdr:y>0.41555</cdr:y>
    </cdr:to>
    <cdr:cxnSp macro="">
      <cdr:nvCxnSpPr>
        <cdr:cNvPr id="2" name="Connecteur droit 1">
          <a:extLst xmlns:a="http://schemas.openxmlformats.org/drawingml/2006/main">
            <a:ext uri="{FF2B5EF4-FFF2-40B4-BE49-F238E27FC236}">
              <a16:creationId xmlns:a16="http://schemas.microsoft.com/office/drawing/2014/main" id="{6715F9C5-4091-4421-B416-86B438A6EF64}"/>
            </a:ext>
          </a:extLst>
        </cdr:cNvPr>
        <cdr:cNvCxnSpPr/>
      </cdr:nvCxnSpPr>
      <cdr:spPr>
        <a:xfrm xmlns:a="http://schemas.openxmlformats.org/drawingml/2006/main" flipH="1">
          <a:off x="661063" y="1223765"/>
          <a:ext cx="5150357" cy="2619"/>
        </a:xfrm>
        <a:prstGeom xmlns:a="http://schemas.openxmlformats.org/drawingml/2006/main" prst="line">
          <a:avLst/>
        </a:prstGeom>
        <a:ln xmlns:a="http://schemas.openxmlformats.org/drawingml/2006/main">
          <a:solidFill>
            <a:schemeClr val="tx1">
              <a:lumMod val="75000"/>
              <a:lumOff val="25000"/>
            </a:schemeClr>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0.09956</cdr:x>
      <cdr:y>0.3082</cdr:y>
    </cdr:from>
    <cdr:to>
      <cdr:x>0.83238</cdr:x>
      <cdr:y>0.31067</cdr:y>
    </cdr:to>
    <cdr:cxnSp macro="">
      <cdr:nvCxnSpPr>
        <cdr:cNvPr id="3" name="Connecteur droit 2">
          <a:extLst xmlns:a="http://schemas.openxmlformats.org/drawingml/2006/main">
            <a:ext uri="{FF2B5EF4-FFF2-40B4-BE49-F238E27FC236}">
              <a16:creationId xmlns:a16="http://schemas.microsoft.com/office/drawing/2014/main" id="{6BA5689E-E158-4E95-B10F-F45B418A7D14}"/>
            </a:ext>
          </a:extLst>
        </cdr:cNvPr>
        <cdr:cNvCxnSpPr/>
      </cdr:nvCxnSpPr>
      <cdr:spPr>
        <a:xfrm xmlns:a="http://schemas.openxmlformats.org/drawingml/2006/main" flipH="1">
          <a:off x="670108" y="997194"/>
          <a:ext cx="4932630" cy="7992"/>
        </a:xfrm>
        <a:prstGeom xmlns:a="http://schemas.openxmlformats.org/drawingml/2006/main" prst="line">
          <a:avLst/>
        </a:prstGeom>
        <a:ln xmlns:a="http://schemas.openxmlformats.org/drawingml/2006/main">
          <a:solidFill>
            <a:schemeClr val="tx1">
              <a:lumMod val="75000"/>
              <a:lumOff val="25000"/>
            </a:schemeClr>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editAs="oneCell">
    <xdr:from>
      <xdr:col>0</xdr:col>
      <xdr:colOff>57150</xdr:colOff>
      <xdr:row>0</xdr:row>
      <xdr:rowOff>26988</xdr:rowOff>
    </xdr:from>
    <xdr:to>
      <xdr:col>5</xdr:col>
      <xdr:colOff>0</xdr:colOff>
      <xdr:row>4</xdr:row>
      <xdr:rowOff>39688</xdr:rowOff>
    </xdr:to>
    <xdr:pic>
      <xdr:nvPicPr>
        <xdr:cNvPr id="3" name="Imag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6988"/>
          <a:ext cx="1606550" cy="707231"/>
        </a:xfrm>
        <a:prstGeom prst="rect">
          <a:avLst/>
        </a:prstGeom>
      </xdr:spPr>
    </xdr:pic>
    <xdr:clientData/>
  </xdr:twoCellAnchor>
  <xdr:twoCellAnchor>
    <xdr:from>
      <xdr:col>0</xdr:col>
      <xdr:colOff>49609</xdr:colOff>
      <xdr:row>18</xdr:row>
      <xdr:rowOff>18650</xdr:rowOff>
    </xdr:from>
    <xdr:to>
      <xdr:col>19</xdr:col>
      <xdr:colOff>297259</xdr:colOff>
      <xdr:row>31</xdr:row>
      <xdr:rowOff>148828</xdr:rowOff>
    </xdr:to>
    <xdr:graphicFrame macro="">
      <xdr:nvGraphicFramePr>
        <xdr:cNvPr id="2" name="Graphique 2">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47228</xdr:colOff>
      <xdr:row>50</xdr:row>
      <xdr:rowOff>17066</xdr:rowOff>
    </xdr:from>
    <xdr:ext cx="1590675" cy="717153"/>
    <xdr:pic>
      <xdr:nvPicPr>
        <xdr:cNvPr id="4" name="Imag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228" y="9909175"/>
          <a:ext cx="1590675" cy="717153"/>
        </a:xfrm>
        <a:prstGeom prst="rect">
          <a:avLst/>
        </a:prstGeom>
      </xdr:spPr>
    </xdr:pic>
    <xdr:clientData/>
  </xdr:oneCellAnchor>
  <xdr:twoCellAnchor>
    <xdr:from>
      <xdr:col>0</xdr:col>
      <xdr:colOff>0</xdr:colOff>
      <xdr:row>69</xdr:row>
      <xdr:rowOff>153196</xdr:rowOff>
    </xdr:from>
    <xdr:to>
      <xdr:col>19</xdr:col>
      <xdr:colOff>254794</xdr:colOff>
      <xdr:row>85</xdr:row>
      <xdr:rowOff>76200</xdr:rowOff>
    </xdr:to>
    <xdr:graphicFrame macro="">
      <xdr:nvGraphicFramePr>
        <xdr:cNvPr id="5" name="Graphique 1">
          <a:extLst>
            <a:ext uri="{FF2B5EF4-FFF2-40B4-BE49-F238E27FC236}">
              <a16:creationId xmlns:a16="http://schemas.microsoft.com/office/drawing/2014/main"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88</xdr:row>
      <xdr:rowOff>71040</xdr:rowOff>
    </xdr:from>
    <xdr:to>
      <xdr:col>19</xdr:col>
      <xdr:colOff>187326</xdr:colOff>
      <xdr:row>100</xdr:row>
      <xdr:rowOff>110729</xdr:rowOff>
    </xdr:to>
    <xdr:graphicFrame macro="">
      <xdr:nvGraphicFramePr>
        <xdr:cNvPr id="6" name="Graphique 5">
          <a:extLst>
            <a:ext uri="{FF2B5EF4-FFF2-40B4-BE49-F238E27FC236}">
              <a16:creationId xmlns:a16="http://schemas.microsoft.com/office/drawing/2014/main"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0</xdr:row>
      <xdr:rowOff>19051</xdr:rowOff>
    </xdr:from>
    <xdr:to>
      <xdr:col>4</xdr:col>
      <xdr:colOff>257175</xdr:colOff>
      <xdr:row>4</xdr:row>
      <xdr:rowOff>19051</xdr:rowOff>
    </xdr:to>
    <xdr:pic>
      <xdr:nvPicPr>
        <xdr:cNvPr id="2" name="Imag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1"/>
          <a:ext cx="1590675" cy="704850"/>
        </a:xfrm>
        <a:prstGeom prst="rect">
          <a:avLst/>
        </a:prstGeom>
      </xdr:spPr>
    </xdr:pic>
    <xdr:clientData/>
  </xdr:twoCellAnchor>
  <xdr:twoCellAnchor>
    <xdr:from>
      <xdr:col>0</xdr:col>
      <xdr:colOff>0</xdr:colOff>
      <xdr:row>28</xdr:row>
      <xdr:rowOff>170258</xdr:rowOff>
    </xdr:from>
    <xdr:to>
      <xdr:col>19</xdr:col>
      <xdr:colOff>251619</xdr:colOff>
      <xdr:row>42</xdr:row>
      <xdr:rowOff>21432</xdr:rowOff>
    </xdr:to>
    <xdr:graphicFrame macro="">
      <xdr:nvGraphicFramePr>
        <xdr:cNvPr id="4" name="Graphique 6">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66675</xdr:colOff>
      <xdr:row>53</xdr:row>
      <xdr:rowOff>71437</xdr:rowOff>
    </xdr:from>
    <xdr:ext cx="1590675" cy="695325"/>
    <xdr:pic>
      <xdr:nvPicPr>
        <xdr:cNvPr id="5" name="Image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0382250"/>
          <a:ext cx="1590675" cy="695325"/>
        </a:xfrm>
        <a:prstGeom prst="rect">
          <a:avLst/>
        </a:prstGeom>
      </xdr:spPr>
    </xdr:pic>
    <xdr:clientData/>
  </xdr:oneCellAnchor>
  <xdr:twoCellAnchor>
    <xdr:from>
      <xdr:col>0</xdr:col>
      <xdr:colOff>19049</xdr:colOff>
      <xdr:row>62</xdr:row>
      <xdr:rowOff>33337</xdr:rowOff>
    </xdr:from>
    <xdr:to>
      <xdr:col>19</xdr:col>
      <xdr:colOff>266699</xdr:colOff>
      <xdr:row>90</xdr:row>
      <xdr:rowOff>76201</xdr:rowOff>
    </xdr:to>
    <xdr:graphicFrame macro="">
      <xdr:nvGraphicFramePr>
        <xdr:cNvPr id="7" name="Graphique 8">
          <a:extLst>
            <a:ext uri="{FF2B5EF4-FFF2-40B4-BE49-F238E27FC236}">
              <a16:creationId xmlns:a16="http://schemas.microsoft.com/office/drawing/2014/main" id="{00000000-0008-0000-1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16</xdr:row>
      <xdr:rowOff>9525</xdr:rowOff>
    </xdr:from>
    <xdr:to>
      <xdr:col>19</xdr:col>
      <xdr:colOff>327819</xdr:colOff>
      <xdr:row>27</xdr:row>
      <xdr:rowOff>175024</xdr:rowOff>
    </xdr:to>
    <xdr:graphicFrame macro="">
      <xdr:nvGraphicFramePr>
        <xdr:cNvPr id="8" name="Graphique 6">
          <a:extLst>
            <a:ext uri="{FF2B5EF4-FFF2-40B4-BE49-F238E27FC236}">
              <a16:creationId xmlns:a16="http://schemas.microsoft.com/office/drawing/2014/main" id="{00000000-0008-0000-1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29516</xdr:colOff>
      <xdr:row>7</xdr:row>
      <xdr:rowOff>97195</xdr:rowOff>
    </xdr:from>
    <xdr:to>
      <xdr:col>17</xdr:col>
      <xdr:colOff>252704</xdr:colOff>
      <xdr:row>31</xdr:row>
      <xdr:rowOff>148374</xdr:rowOff>
    </xdr:to>
    <xdr:pic>
      <xdr:nvPicPr>
        <xdr:cNvPr id="9" name="Image 8">
          <a:extLst>
            <a:ext uri="{FF2B5EF4-FFF2-40B4-BE49-F238E27FC236}">
              <a16:creationId xmlns:a16="http://schemas.microsoft.com/office/drawing/2014/main" id="{00000000-0008-0000-1B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271"/>
        <a:stretch/>
      </xdr:blipFill>
      <xdr:spPr>
        <a:xfrm>
          <a:off x="690434" y="1331557"/>
          <a:ext cx="5180076" cy="4716485"/>
        </a:xfrm>
        <a:prstGeom prst="rect">
          <a:avLst/>
        </a:prstGeom>
      </xdr:spPr>
    </xdr:pic>
    <xdr:clientData/>
  </xdr:twoCellAnchor>
  <xdr:oneCellAnchor>
    <xdr:from>
      <xdr:col>0</xdr:col>
      <xdr:colOff>0</xdr:colOff>
      <xdr:row>52</xdr:row>
      <xdr:rowOff>19051</xdr:rowOff>
    </xdr:from>
    <xdr:ext cx="1590675" cy="704850"/>
    <xdr:pic>
      <xdr:nvPicPr>
        <xdr:cNvPr id="3" name="Imag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000862"/>
          <a:ext cx="1590675" cy="704850"/>
        </a:xfrm>
        <a:prstGeom prst="rect">
          <a:avLst/>
        </a:prstGeom>
      </xdr:spPr>
    </xdr:pic>
    <xdr:clientData/>
  </xdr:oneCellAnchor>
  <xdr:oneCellAnchor>
    <xdr:from>
      <xdr:col>0</xdr:col>
      <xdr:colOff>8359</xdr:colOff>
      <xdr:row>0</xdr:row>
      <xdr:rowOff>28770</xdr:rowOff>
    </xdr:from>
    <xdr:ext cx="1590675" cy="704850"/>
    <xdr:pic>
      <xdr:nvPicPr>
        <xdr:cNvPr id="4" name="Imag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59" y="28770"/>
          <a:ext cx="1590675" cy="704850"/>
        </a:xfrm>
        <a:prstGeom prst="rect">
          <a:avLst/>
        </a:prstGeom>
      </xdr:spPr>
    </xdr:pic>
    <xdr:clientData/>
  </xdr:oneCellAnchor>
  <xdr:oneCellAnchor>
    <xdr:from>
      <xdr:col>5</xdr:col>
      <xdr:colOff>203726</xdr:colOff>
      <xdr:row>33</xdr:row>
      <xdr:rowOff>47432</xdr:rowOff>
    </xdr:from>
    <xdr:ext cx="2993951" cy="3429435"/>
    <xdr:pic>
      <xdr:nvPicPr>
        <xdr:cNvPr id="5" name="Imag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56022" y="6335876"/>
          <a:ext cx="2993951" cy="3429435"/>
        </a:xfrm>
        <a:prstGeom prst="rect">
          <a:avLst/>
        </a:prstGeom>
        <a:ln>
          <a:solidFill>
            <a:schemeClr val="accent3">
              <a:lumMod val="75000"/>
            </a:schemeClr>
          </a:solidFill>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38100</xdr:colOff>
      <xdr:row>0</xdr:row>
      <xdr:rowOff>28575</xdr:rowOff>
    </xdr:from>
    <xdr:ext cx="1914869" cy="828675"/>
    <xdr:pic>
      <xdr:nvPicPr>
        <xdr:cNvPr id="2" name="Imag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914869" cy="828675"/>
        </a:xfrm>
        <a:prstGeom prst="rect">
          <a:avLst/>
        </a:prstGeom>
      </xdr:spPr>
    </xdr:pic>
    <xdr:clientData/>
  </xdr:oneCellAnchor>
</xdr:wsDr>
</file>

<file path=xl/drawings/drawing3.xml><?xml version="1.0" encoding="utf-8"?>
<c:userShapes xmlns:c="http://schemas.openxmlformats.org/drawingml/2006/chart">
  <cdr:relSizeAnchor xmlns:cdr="http://schemas.openxmlformats.org/drawingml/2006/chartDrawing">
    <cdr:from>
      <cdr:x>0.35048</cdr:x>
      <cdr:y>0</cdr:y>
    </cdr:from>
    <cdr:to>
      <cdr:x>0.74277</cdr:x>
      <cdr:y>0.10069</cdr:y>
    </cdr:to>
    <cdr:sp macro="" textlink="">
      <cdr:nvSpPr>
        <cdr:cNvPr id="2" name="ZoneTexte 1"/>
        <cdr:cNvSpPr txBox="1"/>
      </cdr:nvSpPr>
      <cdr:spPr>
        <a:xfrm xmlns:a="http://schemas.openxmlformats.org/drawingml/2006/main">
          <a:off x="1038225" y="0"/>
          <a:ext cx="116205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Etablissement</a:t>
          </a:r>
        </a:p>
      </cdr:txBody>
    </cdr:sp>
  </cdr:relSizeAnchor>
</c:userShapes>
</file>

<file path=xl/drawings/drawing4.xml><?xml version="1.0" encoding="utf-8"?>
<xdr:wsDr xmlns:xdr="http://schemas.openxmlformats.org/drawingml/2006/spreadsheetDrawing" xmlns:a="http://schemas.openxmlformats.org/drawingml/2006/main">
  <xdr:oneCellAnchor>
    <xdr:from>
      <xdr:col>0</xdr:col>
      <xdr:colOff>38100</xdr:colOff>
      <xdr:row>0</xdr:row>
      <xdr:rowOff>28575</xdr:rowOff>
    </xdr:from>
    <xdr:ext cx="1914869" cy="828675"/>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914869" cy="8286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142875</xdr:colOff>
      <xdr:row>140</xdr:row>
      <xdr:rowOff>9525</xdr:rowOff>
    </xdr:from>
    <xdr:to>
      <xdr:col>11</xdr:col>
      <xdr:colOff>752475</xdr:colOff>
      <xdr:row>166</xdr:row>
      <xdr:rowOff>28575</xdr:rowOff>
    </xdr:to>
    <xdr:sp macro="" textlink="">
      <xdr:nvSpPr>
        <xdr:cNvPr id="2" name="ZoneTexte 1">
          <a:extLst>
            <a:ext uri="{FF2B5EF4-FFF2-40B4-BE49-F238E27FC236}">
              <a16:creationId xmlns:a16="http://schemas.microsoft.com/office/drawing/2014/main" id="{00000000-0008-0000-0700-000002000000}"/>
            </a:ext>
          </a:extLst>
        </xdr:cNvPr>
        <xdr:cNvSpPr txBox="1"/>
      </xdr:nvSpPr>
      <xdr:spPr>
        <a:xfrm>
          <a:off x="142875" y="27251025"/>
          <a:ext cx="9658350" cy="497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b="1">
              <a:solidFill>
                <a:srgbClr val="FF0000"/>
              </a:solidFill>
            </a:rPr>
            <a:t>Micro-entrepreneur</a:t>
          </a:r>
        </a:p>
        <a:p>
          <a:r>
            <a:rPr lang="fr-FR" b="1"/>
            <a:t>Définition</a:t>
          </a:r>
        </a:p>
        <a:p>
          <a:r>
            <a:rPr lang="fr-FR"/>
            <a:t>Le régime du micro-entrepreneur est la nouvelle dénomination pour celui de l'</a:t>
          </a:r>
          <a:r>
            <a:rPr lang="fr-FR">
              <a:hlinkClick xmlns:r="http://schemas.openxmlformats.org/officeDocument/2006/relationships" r:id=""/>
            </a:rPr>
            <a:t>auto-entrepreneur</a:t>
          </a:r>
          <a:r>
            <a:rPr lang="fr-FR"/>
            <a:t> depuis le 19 décembre 2014. Ce régime a été mis en place par la loi de modernisation de l'économie (LME) d'août 2008 et s'applique depuis le 1er janvier 2009 aux </a:t>
          </a:r>
          <a:r>
            <a:rPr lang="fr-FR">
              <a:hlinkClick xmlns:r="http://schemas.openxmlformats.org/officeDocument/2006/relationships" r:id=""/>
            </a:rPr>
            <a:t>personnes physiques</a:t>
          </a:r>
          <a:r>
            <a:rPr lang="fr-FR"/>
            <a:t> qui créent, ou possèdent déjà, une </a:t>
          </a:r>
          <a:r>
            <a:rPr lang="fr-FR">
              <a:hlinkClick xmlns:r="http://schemas.openxmlformats.org/officeDocument/2006/relationships" r:id=""/>
            </a:rPr>
            <a:t>entreprise individuelle</a:t>
          </a:r>
          <a:r>
            <a:rPr lang="fr-FR"/>
            <a:t> pour exercer une activité commerciale, artisanale ou libérale (hormis certaines activités exclues), à titre principal ou complémentaire. Il offre des formalités de création d'entreprises allégées ainsi qu'un mode de calcul et de paiement simplifié des cotisations sociales et de l'impôt sur le revenu. Pour en bénéficier, l'entrepreneur individuel doit remplir les conditions du régime fiscal de la micro-entreprise. De nouvelles dispositions, définies par la loi Pinel du 18 juin 2014, s'appliquent depuis le 19 décembre 2014. Le micro-entrepreneur bénéficie ainsi :</a:t>
          </a:r>
          <a:br>
            <a:rPr lang="fr-FR"/>
          </a:br>
          <a:r>
            <a:rPr lang="fr-FR"/>
            <a:t>- du régime micro-social ;</a:t>
          </a:r>
          <a:br>
            <a:rPr lang="fr-FR"/>
          </a:br>
          <a:r>
            <a:rPr lang="fr-FR"/>
            <a:t>- d'un régime micro-fiscal ;</a:t>
          </a:r>
          <a:br>
            <a:rPr lang="fr-FR"/>
          </a:br>
          <a:r>
            <a:rPr lang="fr-FR"/>
            <a:t>- d'une exonération temporaire de la cotisation foncière des entreprises ;</a:t>
          </a:r>
          <a:br>
            <a:rPr lang="fr-FR"/>
          </a:br>
          <a:r>
            <a:rPr lang="fr-FR"/>
            <a:t>- d'une exonération ou d'une franchise de </a:t>
          </a:r>
          <a:r>
            <a:rPr lang="fr-FR">
              <a:hlinkClick xmlns:r="http://schemas.openxmlformats.org/officeDocument/2006/relationships" r:id=""/>
            </a:rPr>
            <a:t>TVA</a:t>
          </a:r>
          <a:r>
            <a:rPr lang="fr-FR"/>
            <a:t> du fait de son activité.</a:t>
          </a:r>
          <a:br>
            <a:rPr lang="fr-FR"/>
          </a:br>
          <a:r>
            <a:rPr lang="fr-FR"/>
            <a:t>Avant le 19 décembre 2014, il bénéficiait également d'une dispense d'immatriculation au registre du commerce et des sociétés (RCS) pour les commerçants ou au répertoire des métiers (RM) pour les artisans, sauf cas particuliers. Depuis la dispense a été supprimée mais l'immatriculation est gratuite.</a:t>
          </a:r>
        </a:p>
        <a:p>
          <a:endParaRPr lang="fr-FR" sz="1100"/>
        </a:p>
        <a:p>
          <a:r>
            <a:rPr lang="fr-FR" b="1">
              <a:solidFill>
                <a:srgbClr val="FF0000"/>
              </a:solidFill>
            </a:rPr>
            <a:t>Microentreprise</a:t>
          </a:r>
        </a:p>
        <a:p>
          <a:r>
            <a:rPr lang="fr-FR" b="1"/>
            <a:t>Définition</a:t>
          </a:r>
        </a:p>
        <a:p>
          <a:r>
            <a:rPr lang="fr-FR"/>
            <a:t>Une microentreprise est une </a:t>
          </a:r>
          <a:r>
            <a:rPr lang="fr-FR">
              <a:hlinkClick xmlns:r="http://schemas.openxmlformats.org/officeDocument/2006/relationships" r:id=""/>
            </a:rPr>
            <a:t>entreprise</a:t>
          </a:r>
          <a:r>
            <a:rPr lang="fr-FR"/>
            <a:t> occupant moins de 10 personnes, et qui a un </a:t>
          </a:r>
          <a:r>
            <a:rPr lang="fr-FR">
              <a:hlinkClick xmlns:r="http://schemas.openxmlformats.org/officeDocument/2006/relationships" r:id=""/>
            </a:rPr>
            <a:t>chiffre d'affaires</a:t>
          </a:r>
          <a:r>
            <a:rPr lang="fr-FR"/>
            <a:t> annuel ou un total de bilan n'excédant pas 2 millions d'euros.</a:t>
          </a:r>
          <a:br>
            <a:rPr lang="fr-FR"/>
          </a:br>
          <a:r>
            <a:rPr lang="fr-FR"/>
            <a:t>Cette notion, utilisée à des fins d'analyse statistique et économique, diffère de celle du régime fiscal de la micro-entreprise et </a:t>
          </a:r>
          <a:r>
            <a:rPr lang="fr-FR" b="1">
              <a:solidFill>
                <a:srgbClr val="00B050"/>
              </a:solidFill>
            </a:rPr>
            <a:t>ne s'apparente pas non plus au statut de </a:t>
          </a:r>
          <a:r>
            <a:rPr lang="fr-FR" b="1">
              <a:solidFill>
                <a:srgbClr val="00B050"/>
              </a:solidFill>
              <a:hlinkClick xmlns:r="http://schemas.openxmlformats.org/officeDocument/2006/relationships" r:id=""/>
            </a:rPr>
            <a:t>micro-entrepreneur</a:t>
          </a:r>
          <a:r>
            <a:rPr lang="fr-FR" b="1">
              <a:solidFill>
                <a:srgbClr val="00B050"/>
              </a:solidFill>
            </a:rPr>
            <a:t>, appelé </a:t>
          </a:r>
          <a:r>
            <a:rPr lang="fr-FR" b="1">
              <a:solidFill>
                <a:srgbClr val="00B050"/>
              </a:solidFill>
              <a:hlinkClick xmlns:r="http://schemas.openxmlformats.org/officeDocument/2006/relationships" r:id=""/>
            </a:rPr>
            <a:t>auto-entrepreneur</a:t>
          </a:r>
          <a:r>
            <a:rPr lang="fr-FR" b="1">
              <a:solidFill>
                <a:srgbClr val="00B050"/>
              </a:solidFill>
            </a:rPr>
            <a:t> avant le 19 décembre 2014</a:t>
          </a:r>
        </a:p>
        <a:p>
          <a:endParaRPr lang="fr-FR" sz="1100"/>
        </a:p>
        <a:p>
          <a:endParaRPr lang="fr-FR" b="1"/>
        </a:p>
        <a:p>
          <a:r>
            <a:rPr lang="fr-FR" b="1">
              <a:solidFill>
                <a:srgbClr val="FF0000"/>
              </a:solidFill>
            </a:rPr>
            <a:t>Entreprise Individuelle</a:t>
          </a:r>
        </a:p>
        <a:p>
          <a:r>
            <a:rPr lang="fr-FR" b="1"/>
            <a:t>Définition</a:t>
          </a:r>
        </a:p>
        <a:p>
          <a:r>
            <a:rPr lang="fr-FR"/>
            <a:t>Une entreprise individuelle est une entreprise qui est la propriété exclusive d'une </a:t>
          </a:r>
          <a:r>
            <a:rPr lang="fr-FR">
              <a:hlinkClick xmlns:r="http://schemas.openxmlformats.org/officeDocument/2006/relationships" r:id=""/>
            </a:rPr>
            <a:t>personne physique</a:t>
          </a:r>
          <a:r>
            <a:rPr lang="fr-FR"/>
            <a:t>. L'entrepreneur exerce son activité sans avoir créé de </a:t>
          </a:r>
          <a:r>
            <a:rPr lang="fr-FR">
              <a:hlinkClick xmlns:r="http://schemas.openxmlformats.org/officeDocument/2006/relationships" r:id=""/>
            </a:rPr>
            <a:t>personne juridique</a:t>
          </a:r>
          <a:r>
            <a:rPr lang="fr-FR"/>
            <a:t> distincte. Les différentes formes d'entreprises individuelles sont : commerçant, </a:t>
          </a:r>
          <a:r>
            <a:rPr lang="fr-FR">
              <a:hlinkClick xmlns:r="http://schemas.openxmlformats.org/officeDocument/2006/relationships" r:id=""/>
            </a:rPr>
            <a:t>artisan</a:t>
          </a:r>
          <a:r>
            <a:rPr lang="fr-FR"/>
            <a:t>, profession libérale, agriculteur. Chaque entreprise individuelle (comme chaque société) est répertoriée dans le répertoire </a:t>
          </a:r>
          <a:r>
            <a:rPr lang="fr-FR">
              <a:hlinkClick xmlns:r="http://schemas.openxmlformats.org/officeDocument/2006/relationships" r:id=""/>
            </a:rPr>
            <a:t>SIRENE</a:t>
          </a:r>
          <a:r>
            <a:rPr lang="fr-FR"/>
            <a:t>.</a:t>
          </a:r>
        </a:p>
        <a:p>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195262</xdr:colOff>
      <xdr:row>23</xdr:row>
      <xdr:rowOff>138112</xdr:rowOff>
    </xdr:from>
    <xdr:to>
      <xdr:col>10</xdr:col>
      <xdr:colOff>195262</xdr:colOff>
      <xdr:row>38</xdr:row>
      <xdr:rowOff>23812</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23033</xdr:colOff>
      <xdr:row>61</xdr:row>
      <xdr:rowOff>160717</xdr:rowOff>
    </xdr:from>
    <xdr:to>
      <xdr:col>8</xdr:col>
      <xdr:colOff>231179</xdr:colOff>
      <xdr:row>70</xdr:row>
      <xdr:rowOff>145504</xdr:rowOff>
    </xdr:to>
    <xdr:graphicFrame macro="">
      <xdr:nvGraphicFramePr>
        <xdr:cNvPr id="2" name="Graphique 2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2</xdr:row>
      <xdr:rowOff>9525</xdr:rowOff>
    </xdr:from>
    <xdr:to>
      <xdr:col>7</xdr:col>
      <xdr:colOff>752475</xdr:colOff>
      <xdr:row>52</xdr:row>
      <xdr:rowOff>161925</xdr:rowOff>
    </xdr:to>
    <xdr:pic>
      <xdr:nvPicPr>
        <xdr:cNvPr id="3" name="Image 2">
          <a:extLst>
            <a:ext uri="{FF2B5EF4-FFF2-40B4-BE49-F238E27FC236}">
              <a16:creationId xmlns:a16="http://schemas.microsoft.com/office/drawing/2014/main" id="{BE33B42D-B366-4201-B7ED-F8144A8D93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2" b="-385"/>
        <a:stretch/>
      </xdr:blipFill>
      <xdr:spPr>
        <a:xfrm>
          <a:off x="57150" y="390525"/>
          <a:ext cx="6429375" cy="9677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38100</xdr:colOff>
      <xdr:row>0</xdr:row>
      <xdr:rowOff>19050</xdr:rowOff>
    </xdr:from>
    <xdr:ext cx="1914869" cy="876300"/>
    <xdr:pic>
      <xdr:nvPicPr>
        <xdr:cNvPr id="2" name="Imag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9050"/>
          <a:ext cx="1914869" cy="876300"/>
        </a:xfrm>
        <a:prstGeom prst="rect">
          <a:avLst/>
        </a:prstGeom>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ressources.data.sncf.com/explore/dataset/frequentation-gares/information/?sort=nom_gare" TargetMode="External"/><Relationship Id="rId2" Type="http://schemas.openxmlformats.org/officeDocument/2006/relationships/hyperlink" Target="http://www.lantenne.com/Les-ports-francais_a14374.html" TargetMode="External"/><Relationship Id="rId1" Type="http://schemas.openxmlformats.org/officeDocument/2006/relationships/hyperlink" Target="http://www.developpement-durable.gouv.fr/Trafics-des-principaux-ports.html" TargetMode="Externa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lekiosque.finances.gouv.fr/regionales/region_accueil.asp"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hyperlink" Target="http://www.education.gouv.fr/cid57096/reperes-et-references-statistiques.html"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education.gouv.fr/cid57096/reperes-et-references-statistiques.html" TargetMode="External"/><Relationship Id="rId2" Type="http://schemas.openxmlformats.org/officeDocument/2006/relationships/hyperlink" Target="http://www.obs-ost.fr/frressources_en_ligne/documents_methodologiques" TargetMode="External"/><Relationship Id="rId1" Type="http://schemas.openxmlformats.org/officeDocument/2006/relationships/hyperlink" Target="http://www.obs-ost.fr/frindicateur/analyses_et_indicateurs_de_reference" TargetMode="External"/><Relationship Id="rId4"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see.fr/fr/statistiques/2021703" TargetMode="External"/><Relationship Id="rId1" Type="http://schemas.openxmlformats.org/officeDocument/2006/relationships/hyperlink" Target="http://etudes.obs-aquitaine.fr/rub.asp?id=4&amp;page=Les_donnees_mensuelles_chiffree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www.insee.fr/fr/themes/detail.asp?reg_id=99&amp;ref_id=base-cc-salaire-net-horaire-moyen"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bmo.pole-emploi.org/bmo?graph=1&amp;in=4&amp;lc=0&amp;pp=2016"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www.acoss.fr/home/observatoire-economique/publications/acoss-stat/acoss-stat-n227.html" TargetMode="External"/><Relationship Id="rId2" Type="http://schemas.openxmlformats.org/officeDocument/2006/relationships/hyperlink" Target="http://www.insee.fr/fr/themes/detail.asp?reg_id=99&amp;ref_id=micro-entrepreneurs2016" TargetMode="External"/><Relationship Id="rId1" Type="http://schemas.openxmlformats.org/officeDocument/2006/relationships/hyperlink" Target="http://www.acoss.fr/home/observatoire-economique/publications/acoss-stat/acoss-stat-n227.html"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www.insee.fr/fr/themes/detail.asp?reg_id=99&amp;ref_id=base-cc-demo-entreprises"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insee.fr/fr/statistiques/1893220" TargetMode="External"/><Relationship Id="rId1" Type="http://schemas.openxmlformats.org/officeDocument/2006/relationships/hyperlink" Target="https://www.insee.fr/fr/statistiques/18932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V166"/>
  <sheetViews>
    <sheetView showRuler="0" topLeftCell="A10" zoomScaleNormal="100" workbookViewId="0">
      <selection activeCell="A24" sqref="A24:U31"/>
    </sheetView>
  </sheetViews>
  <sheetFormatPr baseColWidth="10" defaultColWidth="11.42578125" defaultRowHeight="15" zeroHeight="1"/>
  <cols>
    <col min="1" max="20" width="4.7109375" customWidth="1"/>
  </cols>
  <sheetData>
    <row r="1" spans="1:22" s="198" customFormat="1" ht="14.1" customHeight="1">
      <c r="A1" s="195"/>
      <c r="B1" s="196"/>
      <c r="C1" s="197"/>
      <c r="D1" s="197"/>
      <c r="E1" s="197"/>
      <c r="F1" s="1031" t="s">
        <v>1039</v>
      </c>
      <c r="G1" s="1032"/>
      <c r="H1" s="1032"/>
      <c r="I1" s="1032"/>
      <c r="J1" s="1032"/>
      <c r="K1" s="1032"/>
      <c r="L1" s="1032"/>
      <c r="M1" s="1032"/>
      <c r="N1" s="1032"/>
      <c r="O1" s="1032"/>
      <c r="P1" s="1032"/>
      <c r="Q1" s="1032"/>
      <c r="R1" s="1032"/>
      <c r="S1" s="1032"/>
      <c r="T1" s="1033"/>
    </row>
    <row r="2" spans="1:22" s="198" customFormat="1" ht="14.1" customHeight="1">
      <c r="A2" s="199"/>
      <c r="B2" s="197"/>
      <c r="C2" s="197"/>
      <c r="D2" s="197"/>
      <c r="E2" s="197"/>
      <c r="F2" s="1034"/>
      <c r="G2" s="1035"/>
      <c r="H2" s="1035"/>
      <c r="I2" s="1035"/>
      <c r="J2" s="1035"/>
      <c r="K2" s="1035"/>
      <c r="L2" s="1035"/>
      <c r="M2" s="1035"/>
      <c r="N2" s="1035"/>
      <c r="O2" s="1035"/>
      <c r="P2" s="1035"/>
      <c r="Q2" s="1035"/>
      <c r="R2" s="1035"/>
      <c r="S2" s="1035"/>
      <c r="T2" s="1036"/>
    </row>
    <row r="3" spans="1:22" s="198" customFormat="1" ht="14.1" customHeight="1">
      <c r="A3" s="200"/>
      <c r="B3" s="197"/>
      <c r="C3" s="197"/>
      <c r="D3" s="197"/>
      <c r="E3" s="197"/>
      <c r="F3" s="1034"/>
      <c r="G3" s="1035"/>
      <c r="H3" s="1035"/>
      <c r="I3" s="1035"/>
      <c r="J3" s="1035"/>
      <c r="K3" s="1035"/>
      <c r="L3" s="1035"/>
      <c r="M3" s="1035"/>
      <c r="N3" s="1035"/>
      <c r="O3" s="1035"/>
      <c r="P3" s="1035"/>
      <c r="Q3" s="1035"/>
      <c r="R3" s="1035"/>
      <c r="S3" s="1035"/>
      <c r="T3" s="1036"/>
    </row>
    <row r="4" spans="1:22" s="198" customFormat="1" ht="14.1" customHeight="1">
      <c r="A4" s="200"/>
      <c r="B4" s="197"/>
      <c r="C4" s="197"/>
      <c r="D4" s="197"/>
      <c r="E4" s="197"/>
      <c r="F4" s="1037"/>
      <c r="G4" s="1038"/>
      <c r="H4" s="1038"/>
      <c r="I4" s="1038"/>
      <c r="J4" s="1038"/>
      <c r="K4" s="1038"/>
      <c r="L4" s="1038"/>
      <c r="M4" s="1038"/>
      <c r="N4" s="1038"/>
      <c r="O4" s="1038"/>
      <c r="P4" s="1038"/>
      <c r="Q4" s="1038"/>
      <c r="R4" s="1038"/>
      <c r="S4" s="1038"/>
      <c r="T4" s="1039"/>
    </row>
    <row r="5" spans="1:22" s="198" customFormat="1" ht="5.25" customHeight="1">
      <c r="A5" s="201"/>
      <c r="B5" s="202"/>
      <c r="C5" s="201"/>
      <c r="D5" s="201"/>
      <c r="E5" s="201"/>
      <c r="F5" s="203"/>
      <c r="G5" s="203"/>
      <c r="H5" s="204"/>
      <c r="I5" s="204"/>
      <c r="J5" s="204"/>
      <c r="K5" s="204"/>
      <c r="L5" s="204"/>
      <c r="M5" s="204"/>
      <c r="N5" s="204"/>
      <c r="O5" s="204"/>
      <c r="P5" s="204"/>
      <c r="Q5" s="204"/>
      <c r="R5" s="204"/>
      <c r="S5" s="204"/>
      <c r="T5" s="204"/>
    </row>
    <row r="6" spans="1:22" s="198" customFormat="1" ht="15" customHeight="1">
      <c r="A6" s="1048" t="s">
        <v>810</v>
      </c>
      <c r="B6" s="1048"/>
      <c r="C6" s="1048"/>
      <c r="D6" s="1048"/>
      <c r="E6" s="1048"/>
      <c r="F6" s="1048"/>
      <c r="G6" s="1048"/>
      <c r="H6" s="1048"/>
      <c r="I6" s="1048"/>
      <c r="J6" s="1048"/>
      <c r="K6" s="1048"/>
      <c r="L6" s="1048"/>
      <c r="M6" s="1048"/>
      <c r="N6" s="1048"/>
      <c r="O6" s="1048"/>
      <c r="P6" s="1048"/>
      <c r="Q6" s="1048"/>
      <c r="R6" s="1048"/>
      <c r="S6" s="1048"/>
      <c r="T6" s="1048"/>
    </row>
    <row r="7" spans="1:22" s="198" customFormat="1" ht="15" customHeight="1" thickBot="1">
      <c r="A7" s="1048"/>
      <c r="B7" s="1048"/>
      <c r="C7" s="1048"/>
      <c r="D7" s="1048"/>
      <c r="E7" s="1048"/>
      <c r="F7" s="1048"/>
      <c r="G7" s="1048"/>
      <c r="H7" s="1048"/>
      <c r="I7" s="1048"/>
      <c r="J7" s="1048"/>
      <c r="K7" s="1048"/>
      <c r="L7" s="1048"/>
      <c r="M7" s="1048"/>
      <c r="N7" s="1048"/>
      <c r="O7" s="1048"/>
      <c r="P7" s="1048"/>
      <c r="Q7" s="1048"/>
      <c r="R7" s="1048"/>
      <c r="S7" s="1048"/>
      <c r="T7" s="1048"/>
    </row>
    <row r="8" spans="1:22" ht="16.5" thickTop="1" thickBot="1">
      <c r="A8" s="1011" t="s">
        <v>1077</v>
      </c>
      <c r="B8" s="1012"/>
      <c r="C8" s="1013"/>
      <c r="D8" s="327"/>
      <c r="E8" s="554"/>
      <c r="F8" s="554"/>
      <c r="G8" s="554"/>
      <c r="H8" s="554"/>
      <c r="I8" s="1049" t="s">
        <v>411</v>
      </c>
      <c r="J8" s="1050"/>
      <c r="K8" s="1050"/>
      <c r="L8" s="1051"/>
      <c r="M8" s="555"/>
      <c r="N8" s="554"/>
      <c r="O8" s="997" t="s">
        <v>239</v>
      </c>
      <c r="P8" s="998"/>
      <c r="Q8" s="998"/>
      <c r="R8" s="999"/>
      <c r="S8" s="554"/>
      <c r="T8" s="205"/>
      <c r="U8" s="198"/>
      <c r="V8" s="198"/>
    </row>
    <row r="9" spans="1:22" ht="15.75" thickTop="1">
      <c r="A9" s="412" t="s">
        <v>1486</v>
      </c>
      <c r="B9" s="471"/>
      <c r="C9" s="471"/>
      <c r="D9" s="471"/>
      <c r="E9" s="471"/>
      <c r="F9" s="471"/>
      <c r="G9" s="310"/>
      <c r="H9" s="310"/>
      <c r="I9" s="310"/>
      <c r="J9" s="310"/>
      <c r="K9" s="310"/>
      <c r="L9" s="460" t="s">
        <v>1360</v>
      </c>
      <c r="M9" s="460"/>
      <c r="N9" s="460"/>
      <c r="O9" s="460"/>
      <c r="P9" s="460"/>
      <c r="Q9" s="460"/>
      <c r="R9" s="460"/>
      <c r="S9" s="399"/>
      <c r="T9" s="399"/>
    </row>
    <row r="10" spans="1:22" ht="24" customHeight="1">
      <c r="A10" s="403" t="s">
        <v>1248</v>
      </c>
      <c r="B10" s="310"/>
      <c r="C10" s="310"/>
      <c r="D10" s="310"/>
      <c r="E10" s="310"/>
      <c r="F10" s="310"/>
      <c r="G10" s="310"/>
      <c r="H10" s="310"/>
      <c r="I10" s="310"/>
      <c r="J10" s="1052" t="s">
        <v>1278</v>
      </c>
      <c r="K10" s="1053"/>
      <c r="L10" s="1054"/>
      <c r="M10" s="1052" t="s">
        <v>1249</v>
      </c>
      <c r="N10" s="1054"/>
      <c r="O10" s="504"/>
      <c r="P10" s="1052" t="s">
        <v>1278</v>
      </c>
      <c r="Q10" s="1053"/>
      <c r="R10" s="1054"/>
      <c r="S10" s="1052" t="s">
        <v>1249</v>
      </c>
      <c r="T10" s="1054"/>
    </row>
    <row r="11" spans="1:22">
      <c r="A11" s="505" t="s">
        <v>454</v>
      </c>
      <c r="B11" s="506"/>
      <c r="C11" s="506"/>
      <c r="D11" s="506"/>
      <c r="E11" s="506"/>
      <c r="F11" s="506"/>
      <c r="G11" s="474"/>
      <c r="H11" s="397"/>
      <c r="I11" s="397"/>
      <c r="J11" s="398"/>
      <c r="K11" s="1017">
        <f>VLOOKUP($I$8,'D_Ch-5-1'!$B$58:$O$107,MATCH("Agriculture",'D_Ch-5-1'!$B$58:$O$58,0),FALSE)</f>
        <v>857</v>
      </c>
      <c r="L11" s="1016"/>
      <c r="M11" s="1044">
        <f>VLOOKUP($I$8,'D_Ch-5-1'!$B$109:$O$158,MATCH("Agriculture",'D_Ch-5-1'!$B$58:$O$58,0),FALSE)</f>
        <v>2.3804762063486772E-3</v>
      </c>
      <c r="N11" s="1045"/>
      <c r="O11" s="310"/>
      <c r="P11" s="310"/>
      <c r="Q11" s="1055">
        <f>VLOOKUP($O$8,'D_Ch-5-1'!$B$58:$O$107,MATCH("Agriculture",'D_Ch-5-1'!$B$58:$O$58,0),FALSE)</f>
        <v>1668</v>
      </c>
      <c r="R11" s="1056"/>
      <c r="S11" s="1044">
        <f>VLOOKUP($O$8,'D_Ch-5-1'!$B$109:$O$158,MATCH("Agriculture",'D_Ch-5-1'!$B$58:$O$58,0),FALSE)</f>
        <v>3.9849774949112697E-3</v>
      </c>
      <c r="T11" s="1045"/>
    </row>
    <row r="12" spans="1:22">
      <c r="A12" s="505" t="s">
        <v>456</v>
      </c>
      <c r="B12" s="506"/>
      <c r="C12" s="506"/>
      <c r="D12" s="506"/>
      <c r="E12" s="506"/>
      <c r="F12" s="506"/>
      <c r="G12" s="474"/>
      <c r="H12" s="397"/>
      <c r="I12" s="397"/>
      <c r="J12" s="398"/>
      <c r="K12" s="1017">
        <f>VLOOKUP($I$8,'D_Ch-5-1'!$B$58:$O$107,MATCH("Industries",'D_Ch-5-1'!$B$58:$O$58,0),FALSE)</f>
        <v>33030</v>
      </c>
      <c r="L12" s="1016"/>
      <c r="M12" s="1044">
        <f>VLOOKUP($I$8,'D_Ch-5-1'!$B$109:$O$158,MATCH("Industries",'D_Ch-5-1'!$B$58:$O$58,0),FALSE)</f>
        <v>9.1746941768607718E-2</v>
      </c>
      <c r="N12" s="1045"/>
      <c r="O12" s="310"/>
      <c r="P12" s="310"/>
      <c r="Q12" s="1017">
        <f>VLOOKUP($O$8,'D_Ch-5-1'!$B$58:$O$107,MATCH("Industries",'D_Ch-5-1'!$B$58:$O$58,0),FALSE)</f>
        <v>79579</v>
      </c>
      <c r="R12" s="1016"/>
      <c r="S12" s="1044">
        <f>VLOOKUP($O$8,'D_Ch-5-1'!$B$109:$O$158,MATCH("Industries",'D_Ch-5-1'!$B$58:$O$58,0),FALSE)</f>
        <v>0.19012021826591363</v>
      </c>
      <c r="T12" s="1045"/>
    </row>
    <row r="13" spans="1:22">
      <c r="A13" s="505" t="s">
        <v>277</v>
      </c>
      <c r="B13" s="506"/>
      <c r="C13" s="506"/>
      <c r="D13" s="506"/>
      <c r="E13" s="506"/>
      <c r="F13" s="506"/>
      <c r="G13" s="474"/>
      <c r="H13" s="397"/>
      <c r="I13" s="397"/>
      <c r="J13" s="398"/>
      <c r="K13" s="1017">
        <f>VLOOKUP($I$8,'D_Ch-5-1'!$B$58:$O$107,MATCH("Construction",'D_Ch-5-1'!$B$58:$O$58,0),FALSE)</f>
        <v>19586</v>
      </c>
      <c r="L13" s="1016"/>
      <c r="M13" s="1044">
        <f>VLOOKUP($I$8,'D_Ch-5-1'!$B$109:$O$158,MATCH("Construction",'D_Ch-5-1'!$B$58:$O$58,0),FALSE)</f>
        <v>5.4403742097485643E-2</v>
      </c>
      <c r="N13" s="1045"/>
      <c r="O13" s="310"/>
      <c r="P13" s="310"/>
      <c r="Q13" s="1017">
        <f>VLOOKUP($O$8,'D_Ch-5-1'!$B$58:$O$107,MATCH("Construction",'D_Ch-5-1'!$B$58:$O$58,0),FALSE)</f>
        <v>26833</v>
      </c>
      <c r="R13" s="1016"/>
      <c r="S13" s="1044">
        <f>VLOOKUP($O$8,'D_Ch-5-1'!$B$109:$O$158,MATCH("Construction",'D_Ch-5-1'!$B$58:$O$58,0),FALSE)</f>
        <v>6.4106055827910138E-2</v>
      </c>
      <c r="T13" s="1045"/>
    </row>
    <row r="14" spans="1:22">
      <c r="A14" s="505" t="s">
        <v>811</v>
      </c>
      <c r="B14" s="506"/>
      <c r="C14" s="506"/>
      <c r="D14" s="506"/>
      <c r="E14" s="506"/>
      <c r="F14" s="506"/>
      <c r="G14" s="474"/>
      <c r="H14" s="397"/>
      <c r="I14" s="397"/>
      <c r="J14" s="398"/>
      <c r="K14" s="1017">
        <f>VLOOKUP($I$8,'D_Ch-5-1'!$B$58:$O$107,MATCH("Commerce ; répar auto,moto",'D_Ch-5-1'!$B$58:$O$58,0),FALSE)</f>
        <v>45916</v>
      </c>
      <c r="L14" s="1016"/>
      <c r="M14" s="1044">
        <f>VLOOKUP($I$8,'D_Ch-5-1'!$B$109:$O$158,MATCH("Commerce ; répar auto,moto",'D_Ch-5-1'!$B$58:$O$58,0),FALSE)</f>
        <v>0.12754019310467429</v>
      </c>
      <c r="N14" s="1045"/>
      <c r="O14" s="310"/>
      <c r="P14" s="310"/>
      <c r="Q14" s="1017">
        <f>VLOOKUP($O$8,'D_Ch-5-1'!$B$58:$O$107,MATCH("Commerce ; répar auto,moto",'D_Ch-5-1'!$B$58:$O$58,0),FALSE)</f>
        <v>54127</v>
      </c>
      <c r="R14" s="1016"/>
      <c r="S14" s="1044">
        <f>VLOOKUP($O$8,'D_Ch-5-1'!$B$109:$O$158,MATCH("Commerce ; répar auto,moto",'D_Ch-5-1'!$B$58:$O$58,0),FALSE)</f>
        <v>0.1293134753399654</v>
      </c>
      <c r="T14" s="1045"/>
    </row>
    <row r="15" spans="1:22">
      <c r="A15" s="505" t="s">
        <v>279</v>
      </c>
      <c r="B15" s="506"/>
      <c r="C15" s="506"/>
      <c r="D15" s="506"/>
      <c r="E15" s="506"/>
      <c r="F15" s="506"/>
      <c r="G15" s="474"/>
      <c r="H15" s="397"/>
      <c r="I15" s="397"/>
      <c r="J15" s="398"/>
      <c r="K15" s="1017">
        <f>VLOOKUP($I$8,'D_Ch-5-1'!$B$58:$O$107,MATCH("Transports et entreposage",'D_Ch-5-1'!$B$58:$O$58,0),FALSE)</f>
        <v>22915</v>
      </c>
      <c r="L15" s="1016"/>
      <c r="M15" s="1044">
        <f>VLOOKUP($I$8,'D_Ch-5-1'!$B$109:$O$158,MATCH("Transports et entreposage",'D_Ch-5-1'!$B$58:$O$58,0),FALSE)</f>
        <v>6.3650656089241475E-2</v>
      </c>
      <c r="N15" s="1045"/>
      <c r="O15" s="310"/>
      <c r="P15" s="310"/>
      <c r="Q15" s="1017">
        <f>VLOOKUP($O$8,'D_Ch-5-1'!$B$58:$O$107,MATCH("Transports et entreposage",'D_Ch-5-1'!$B$58:$O$58,0),FALSE)</f>
        <v>22807</v>
      </c>
      <c r="R15" s="1016"/>
      <c r="S15" s="1044">
        <f>VLOOKUP($O$8,'D_Ch-5-1'!$B$109:$O$158,MATCH("Transports et entreposage",'D_Ch-5-1'!$B$58:$O$58,0),FALSE)</f>
        <v>5.4487638924725017E-2</v>
      </c>
      <c r="T15" s="1045"/>
    </row>
    <row r="16" spans="1:22">
      <c r="A16" s="505" t="s">
        <v>280</v>
      </c>
      <c r="B16" s="506"/>
      <c r="C16" s="506"/>
      <c r="D16" s="506"/>
      <c r="E16" s="506"/>
      <c r="F16" s="506"/>
      <c r="G16" s="474"/>
      <c r="H16" s="397"/>
      <c r="I16" s="397"/>
      <c r="J16" s="398"/>
      <c r="K16" s="1017">
        <f>VLOOKUP($I$8,'D_Ch-5-1'!$B$58:$O$107,MATCH("Hébergement et restauration",'D_Ch-5-1'!$B$58:$O$58,0),FALSE)</f>
        <v>15799</v>
      </c>
      <c r="L16" s="1016"/>
      <c r="M16" s="1044">
        <f>VLOOKUP($I$8,'D_Ch-5-1'!$B$109:$O$158,MATCH("Hébergement et restauration",'D_Ch-5-1'!$B$58:$O$58,0),FALSE)</f>
        <v>4.3884648289501463E-2</v>
      </c>
      <c r="N16" s="1045"/>
      <c r="O16" s="310"/>
      <c r="P16" s="310"/>
      <c r="Q16" s="1017">
        <f>VLOOKUP($O$8,'D_Ch-5-1'!$B$58:$O$107,MATCH("Hébergement et restauration",'D_Ch-5-1'!$B$58:$O$58,0),FALSE)</f>
        <v>14896</v>
      </c>
      <c r="R16" s="1016"/>
      <c r="S16" s="1044">
        <f>VLOOKUP($O$8,'D_Ch-5-1'!$B$109:$O$158,MATCH("Hébergement et restauration",'D_Ch-5-1'!$B$58:$O$58,0),FALSE)</f>
        <v>3.5587664726737578E-2</v>
      </c>
      <c r="T16" s="1045"/>
    </row>
    <row r="17" spans="1:20">
      <c r="A17" s="505" t="s">
        <v>281</v>
      </c>
      <c r="B17" s="506"/>
      <c r="C17" s="506"/>
      <c r="D17" s="506"/>
      <c r="E17" s="506"/>
      <c r="F17" s="506"/>
      <c r="G17" s="474"/>
      <c r="H17" s="397"/>
      <c r="I17" s="397"/>
      <c r="J17" s="398"/>
      <c r="K17" s="1017">
        <f>VLOOKUP($I$8,'D_Ch-5-1'!$B$58:$O$107,MATCH("Information et communication",'D_Ch-5-1'!$B$58:$O$58,0),FALSE)</f>
        <v>15818</v>
      </c>
      <c r="L17" s="1016"/>
      <c r="M17" s="1044">
        <f>VLOOKUP($I$8,'D_Ch-5-1'!$B$109:$O$158,MATCH("Information et communication",'D_Ch-5-1'!$B$58:$O$58,0),FALSE)</f>
        <v>4.3937424308078621E-2</v>
      </c>
      <c r="N17" s="1045"/>
      <c r="O17" s="310"/>
      <c r="P17" s="310"/>
      <c r="Q17" s="1017">
        <f>VLOOKUP($O$8,'D_Ch-5-1'!$B$58:$O$107,MATCH("Information et communication",'D_Ch-5-1'!$B$58:$O$58,0),FALSE)</f>
        <v>13083</v>
      </c>
      <c r="R17" s="1016"/>
      <c r="S17" s="1044">
        <f>VLOOKUP($O$8,'D_Ch-5-1'!$B$109:$O$158,MATCH("Information et communication",'D_Ch-5-1'!$B$58:$O$58,0),FALSE)</f>
        <v>3.125627132249649E-2</v>
      </c>
      <c r="T17" s="1045"/>
    </row>
    <row r="18" spans="1:20">
      <c r="A18" s="505" t="s">
        <v>282</v>
      </c>
      <c r="B18" s="506"/>
      <c r="C18" s="506"/>
      <c r="D18" s="506"/>
      <c r="E18" s="506"/>
      <c r="F18" s="506"/>
      <c r="G18" s="474"/>
      <c r="H18" s="397"/>
      <c r="I18" s="397"/>
      <c r="J18" s="398"/>
      <c r="K18" s="1017">
        <f>VLOOKUP($I$8,'D_Ch-5-1'!$B$58:$O$107,MATCH("Activités financières et d'assurance",'D_Ch-5-1'!$B$58:$O$58,0),FALSE)</f>
        <v>19083</v>
      </c>
      <c r="L18" s="1016"/>
      <c r="M18" s="1044">
        <f>VLOOKUP($I$8,'D_Ch-5-1'!$B$109:$O$158,MATCH("Activités financières et d'assurance",'D_Ch-5-1'!$B$58:$O$58,0),FALSE)</f>
        <v>5.3006566447785071E-2</v>
      </c>
      <c r="N18" s="1045"/>
      <c r="O18" s="310"/>
      <c r="P18" s="310"/>
      <c r="Q18" s="1017">
        <f>VLOOKUP($O$8,'D_Ch-5-1'!$B$58:$O$107,MATCH("Activités financières et d'assurance",'D_Ch-5-1'!$B$58:$O$58,0),FALSE)</f>
        <v>10421</v>
      </c>
      <c r="R18" s="1016"/>
      <c r="S18" s="1044">
        <f>VLOOKUP($O$8,'D_Ch-5-1'!$B$109:$O$158,MATCH("Activités financières et d'assurance",'D_Ch-5-1'!$B$58:$O$58,0),FALSE)</f>
        <v>2.4896553042248408E-2</v>
      </c>
      <c r="T18" s="1045"/>
    </row>
    <row r="19" spans="1:20">
      <c r="A19" s="505" t="s">
        <v>283</v>
      </c>
      <c r="B19" s="506"/>
      <c r="C19" s="506"/>
      <c r="D19" s="506"/>
      <c r="E19" s="506"/>
      <c r="F19" s="506"/>
      <c r="G19" s="474"/>
      <c r="H19" s="397"/>
      <c r="I19" s="397"/>
      <c r="J19" s="398"/>
      <c r="K19" s="1017">
        <f>VLOOKUP($I$8,'D_Ch-5-1'!$B$58:$O$107,MATCH("Activités immobilières",'D_Ch-5-1'!$B$58:$O$58,0),FALSE)</f>
        <v>4854</v>
      </c>
      <c r="L19" s="1016"/>
      <c r="M19" s="1044">
        <f>VLOOKUP($I$8,'D_Ch-5-1'!$B$109:$O$158,MATCH("Activités immobilières",'D_Ch-5-1'!$B$58:$O$58,0),FALSE)</f>
        <v>1.3482883903869871E-2</v>
      </c>
      <c r="N19" s="1045"/>
      <c r="O19" s="310"/>
      <c r="P19" s="310"/>
      <c r="Q19" s="1017">
        <f>VLOOKUP($O$8,'D_Ch-5-1'!$B$58:$O$107,MATCH("Activités immobilières",'D_Ch-5-1'!$B$58:$O$58,0),FALSE)</f>
        <v>3799</v>
      </c>
      <c r="R19" s="1016"/>
      <c r="S19" s="1044">
        <f>VLOOKUP($O$8,'D_Ch-5-1'!$B$109:$O$158,MATCH("Activités immobilières",'D_Ch-5-1'!$B$58:$O$58,0),FALSE)</f>
        <v>9.0760968244411946E-3</v>
      </c>
      <c r="T19" s="1045"/>
    </row>
    <row r="20" spans="1:20">
      <c r="A20" s="505" t="s">
        <v>815</v>
      </c>
      <c r="B20" s="506"/>
      <c r="C20" s="506"/>
      <c r="D20" s="506"/>
      <c r="E20" s="506"/>
      <c r="F20" s="506"/>
      <c r="G20" s="474"/>
      <c r="H20" s="397"/>
      <c r="I20" s="397"/>
      <c r="J20" s="398"/>
      <c r="K20" s="1017">
        <f>VLOOKUP($I$8,'D_Ch-5-1'!$B$58:$O$107,MATCH("Ac spé, sci &amp; tec, svces adm &amp; stn",'D_Ch-5-1'!$B$58:$O$58,0),FALSE)</f>
        <v>43467</v>
      </c>
      <c r="L20" s="1016"/>
      <c r="M20" s="1044">
        <f>VLOOKUP($I$8,'D_Ch-5-1'!$B$109:$O$158,MATCH("Ac spé, sci &amp; tec, svces adm &amp; stn",'D_Ch-5-1'!$B$58:$O$58,0),FALSE)</f>
        <v>0.12073764207859738</v>
      </c>
      <c r="N20" s="1045"/>
      <c r="O20" s="310"/>
      <c r="P20" s="310"/>
      <c r="Q20" s="1017">
        <f>VLOOKUP($O$8,'D_Ch-5-1'!$B$58:$O$107,MATCH("Ac spé, sci &amp; tec, svces adm &amp; stn",'D_Ch-5-1'!$B$58:$O$58,0),FALSE)</f>
        <v>48673</v>
      </c>
      <c r="R20" s="1016"/>
      <c r="S20" s="1044">
        <f>VLOOKUP($O$8,'D_Ch-5-1'!$B$109:$O$158,MATCH("Ac spé, sci &amp; tec, svces adm &amp; stn",'D_Ch-5-1'!$B$58:$O$58,0),FALSE)</f>
        <v>0.11628345899869079</v>
      </c>
      <c r="T20" s="1045"/>
    </row>
    <row r="21" spans="1:20">
      <c r="A21" s="505" t="s">
        <v>1179</v>
      </c>
      <c r="B21" s="506"/>
      <c r="C21" s="506"/>
      <c r="D21" s="506"/>
      <c r="E21" s="506"/>
      <c r="F21" s="506"/>
      <c r="G21" s="474"/>
      <c r="H21" s="397"/>
      <c r="I21" s="397"/>
      <c r="J21" s="398"/>
      <c r="K21" s="1017">
        <f>VLOOKUP($I$8,'D_Ch-5-1'!$B$58:$O$107,MATCH("Admin pub, enseign, santé &amp; act soc",'D_Ch-5-1'!$B$58:$O$58,0),FALSE)</f>
        <v>126120</v>
      </c>
      <c r="L21" s="1016"/>
      <c r="M21" s="1044">
        <f>VLOOKUP($I$8,'D_Ch-5-1'!$B$109:$O$158,MATCH("Admin pub, enseign, santé &amp; act soc",'D_Ch-5-1'!$B$58:$O$58,0),FALSE)</f>
        <v>0.35032165594480186</v>
      </c>
      <c r="N21" s="1045"/>
      <c r="O21" s="310"/>
      <c r="P21" s="310"/>
      <c r="Q21" s="1017">
        <f>VLOOKUP($O$8,'D_Ch-5-1'!$B$58:$O$107,MATCH("Admin pub, enseign, santé &amp; act soc",'D_Ch-5-1'!$B$58:$O$58,0),FALSE)</f>
        <v>130636</v>
      </c>
      <c r="R21" s="1016"/>
      <c r="S21" s="1044">
        <f>VLOOKUP($O$8,'D_Ch-5-1'!$B$109:$O$158,MATCH("Admin pub, enseign, santé &amp; act soc",'D_Ch-5-1'!$B$58:$O$58,0),FALSE)</f>
        <v>0.31209923262903394</v>
      </c>
      <c r="T21" s="1045"/>
    </row>
    <row r="22" spans="1:20">
      <c r="A22" s="505" t="s">
        <v>286</v>
      </c>
      <c r="B22" s="506"/>
      <c r="C22" s="506"/>
      <c r="D22" s="506"/>
      <c r="E22" s="506"/>
      <c r="F22" s="506"/>
      <c r="G22" s="474"/>
      <c r="H22" s="397"/>
      <c r="I22" s="397"/>
      <c r="J22" s="398"/>
      <c r="K22" s="1017">
        <f>VLOOKUP($I$8,'D_Ch-5-1'!$B$58:$O$107,MATCH("Autres activités de services",'D_Ch-5-1'!$B$58:$O$58,0),FALSE)</f>
        <v>12567</v>
      </c>
      <c r="L22" s="1016"/>
      <c r="M22" s="1044">
        <f>VLOOKUP($I$8,'D_Ch-5-1'!$B$109:$O$158,MATCH("Autres activités de services",'D_Ch-5-1'!$B$58:$O$58,0),FALSE)</f>
        <v>3.4907169761007967E-2</v>
      </c>
      <c r="N22" s="1045"/>
      <c r="O22" s="310"/>
      <c r="P22" s="310"/>
      <c r="Q22" s="1017">
        <f>VLOOKUP($O$8,'D_Ch-5-1'!$B$58:$O$107,MATCH("Autres activités de services",'D_Ch-5-1'!$B$58:$O$58,0),FALSE)</f>
        <v>12050</v>
      </c>
      <c r="R22" s="1016"/>
      <c r="S22" s="1044">
        <f>VLOOKUP($O$8,'D_Ch-5-1'!$B$109:$O$158,MATCH("Autres activités de services",'D_Ch-5-1'!$B$58:$O$58,0),FALSE)</f>
        <v>2.8788356602926141E-2</v>
      </c>
      <c r="T22" s="1045"/>
    </row>
    <row r="23" spans="1:20">
      <c r="A23" s="412" t="s">
        <v>1101</v>
      </c>
      <c r="B23" s="471"/>
      <c r="C23" s="471"/>
      <c r="D23" s="471"/>
      <c r="E23" s="471"/>
      <c r="F23" s="471"/>
      <c r="G23" s="310"/>
      <c r="H23" s="310"/>
      <c r="I23" s="310"/>
      <c r="J23" s="310"/>
      <c r="K23" s="310"/>
      <c r="L23" s="310"/>
      <c r="M23" s="310"/>
      <c r="N23" s="310"/>
      <c r="O23" s="310"/>
      <c r="P23" s="310"/>
      <c r="Q23" s="310"/>
      <c r="R23" s="310"/>
      <c r="S23" s="310"/>
      <c r="T23" s="310"/>
    </row>
    <row r="24" spans="1:20">
      <c r="A24" s="310"/>
      <c r="B24" s="310"/>
      <c r="C24" s="310"/>
      <c r="D24" s="310"/>
      <c r="E24" s="310"/>
      <c r="F24" s="310"/>
      <c r="G24" s="310"/>
      <c r="H24" s="310"/>
      <c r="I24" s="310"/>
      <c r="J24" s="310"/>
      <c r="K24" s="310"/>
      <c r="L24" s="310"/>
      <c r="M24" s="310"/>
      <c r="N24" s="310"/>
      <c r="O24" s="310"/>
      <c r="P24" s="310"/>
      <c r="Q24" s="310"/>
      <c r="R24" s="310"/>
      <c r="S24" s="310"/>
      <c r="T24" s="310"/>
    </row>
    <row r="25" spans="1:20">
      <c r="A25" s="310"/>
      <c r="B25" s="310"/>
      <c r="C25" s="310"/>
      <c r="D25" s="310"/>
      <c r="E25" s="310"/>
      <c r="F25" s="310"/>
      <c r="G25" s="310"/>
      <c r="H25" s="310"/>
      <c r="I25" s="310"/>
      <c r="J25" s="310"/>
      <c r="K25" s="310"/>
      <c r="L25" s="310"/>
      <c r="M25" s="310"/>
      <c r="N25" s="310"/>
      <c r="O25" s="310"/>
      <c r="P25" s="310"/>
      <c r="Q25" s="310"/>
      <c r="R25" s="310"/>
      <c r="S25" s="310"/>
      <c r="T25" s="310"/>
    </row>
    <row r="26" spans="1:20">
      <c r="A26" s="310"/>
      <c r="B26" s="310"/>
      <c r="C26" s="310"/>
      <c r="D26" s="310"/>
      <c r="E26" s="310"/>
      <c r="F26" s="310"/>
      <c r="G26" s="310"/>
      <c r="H26" s="310"/>
      <c r="I26" s="310"/>
      <c r="J26" s="310"/>
      <c r="K26" s="310"/>
      <c r="L26" s="310"/>
      <c r="M26" s="310"/>
      <c r="N26" s="310"/>
      <c r="O26" s="399"/>
      <c r="P26" s="399"/>
      <c r="Q26" s="310"/>
      <c r="R26" s="310"/>
      <c r="S26" s="310"/>
      <c r="T26" s="310"/>
    </row>
    <row r="27" spans="1:20">
      <c r="A27" s="399"/>
      <c r="B27" s="507" t="s">
        <v>275</v>
      </c>
      <c r="C27" s="507" t="s">
        <v>276</v>
      </c>
      <c r="D27" s="507" t="s">
        <v>277</v>
      </c>
      <c r="E27" s="507" t="s">
        <v>811</v>
      </c>
      <c r="F27" s="507" t="s">
        <v>279</v>
      </c>
      <c r="G27" s="507" t="s">
        <v>280</v>
      </c>
      <c r="H27" s="507" t="s">
        <v>281</v>
      </c>
      <c r="I27" s="507" t="s">
        <v>282</v>
      </c>
      <c r="J27" s="507" t="s">
        <v>283</v>
      </c>
      <c r="K27" s="507" t="s">
        <v>1180</v>
      </c>
      <c r="L27" s="507" t="s">
        <v>1179</v>
      </c>
      <c r="M27" s="507" t="s">
        <v>286</v>
      </c>
      <c r="N27" s="399"/>
      <c r="O27" s="310"/>
      <c r="P27" s="310"/>
      <c r="Q27" s="310"/>
      <c r="R27" s="310"/>
      <c r="S27" s="310"/>
      <c r="T27" s="310"/>
    </row>
    <row r="28" spans="1:20">
      <c r="A28" s="399" t="str">
        <f>I8</f>
        <v>Bx Métropole</v>
      </c>
      <c r="B28" s="399">
        <f>VLOOKUP($I$8,'D_Ch-5-1'!$B$161:$O$210,MATCH("Agriculture",'D_Ch-5-1'!$B$161:$O$161,0),FALSE)</f>
        <v>0.21127457984471112</v>
      </c>
      <c r="C28" s="399">
        <f>VLOOKUP($I$8,'D_Ch-5-1'!$B$161:$O$210,MATCH("Industries",'D_Ch-5-1'!$B$161:$O$161,0),FALSE)</f>
        <v>0.65397194139406079</v>
      </c>
      <c r="D28" s="399">
        <f>VLOOKUP($I$8,'D_Ch-5-1'!$B$161:$O$210,MATCH("Construction",'D_Ch-5-1'!$B$161:$O$161,0),FALSE)</f>
        <v>0.90286908000180721</v>
      </c>
      <c r="E28" s="399">
        <f>VLOOKUP($I$8,'D_Ch-5-1'!$B$161:$O$210,MATCH("Commerce ; répar auto,moto",'D_Ch-5-1'!$B$161:$O$161,0),FALSE)</f>
        <v>0.93482973332952635</v>
      </c>
      <c r="F28" s="399">
        <f>VLOOKUP($I$8,'D_Ch-5-1'!$B$161:$O$210,MATCH("Transports et entreposage",'D_Ch-5-1'!$B$161:$O$161,0),FALSE)</f>
        <v>1.0625857922867064</v>
      </c>
      <c r="G28" s="399">
        <f>VLOOKUP($I$8,'D_Ch-5-1'!$B$161:$O$210,MATCH("Hébergement et restauration",'D_Ch-5-1'!$B$161:$O$161,0),FALSE)</f>
        <v>1.0364581999434908</v>
      </c>
      <c r="H28" s="399">
        <f>VLOOKUP($I$8,'D_Ch-5-1'!$B$161:$O$210,MATCH("Information et communication",'D_Ch-5-1'!$B$161:$O$161,0),FALSE)</f>
        <v>1.3741082414667152</v>
      </c>
      <c r="I28" s="399">
        <f>VLOOKUP($I$8,'D_Ch-5-1'!$B$161:$O$210,MATCH("Activités financières et d'assurance",'D_Ch-5-1'!$B$161:$O$161,0),FALSE)</f>
        <v>1.3974558130112456</v>
      </c>
      <c r="J28" s="399">
        <f>VLOOKUP($I$8,'D_Ch-5-1'!$B$161:$O$210,MATCH("Activités immobilières",'D_Ch-5-1'!$B$161:$O$161,0),FALSE)</f>
        <v>1.2904469379962817</v>
      </c>
      <c r="K28" s="399">
        <f>VLOOKUP($I$8,'D_Ch-5-1'!$B$161:$O$210,MATCH("Ac spé, sci &amp; tec, svces adm &amp; stn",'D_Ch-5-1'!$B$161:$O$161,0),FALSE)</f>
        <v>1.0750251502263097</v>
      </c>
      <c r="L28" s="399">
        <f>VLOOKUP($I$8,'D_Ch-5-1'!$B$161:$O$210,MATCH("Admin pub, enseign, santé &amp; act soc",'D_Ch-5-1'!$B$161:$O$161,0),FALSE)</f>
        <v>1.0892694279216573</v>
      </c>
      <c r="M28" s="399">
        <f>VLOOKUP($I$8,'D_Ch-5-1'!$B$161:$O$210,MATCH("Autres activités de services",'D_Ch-5-1'!$B$161:$O$161,0),FALSE)</f>
        <v>0.9907506462515473</v>
      </c>
      <c r="N28" s="399"/>
      <c r="O28" s="310"/>
      <c r="P28" s="310"/>
      <c r="Q28" s="310"/>
      <c r="R28" s="310"/>
      <c r="S28" s="310"/>
      <c r="T28" s="310"/>
    </row>
    <row r="29" spans="1:20">
      <c r="A29" s="399" t="str">
        <f>O8</f>
        <v>Isère</v>
      </c>
      <c r="B29" s="399">
        <f>VLOOKUP($O$8,'D_Ch-5-1'!$B$161:$O$210,MATCH("Agriculture",'D_Ch-5-1'!$B$161:$O$161,0),FALSE)</f>
        <v>0.35367900073212838</v>
      </c>
      <c r="C29" s="399">
        <f>VLOOKUP($O$8,'D_Ch-5-1'!$B$161:$O$210,MATCH("Industries",'D_Ch-5-1'!$B$161:$O$161,0),FALSE)</f>
        <v>1.3551763779897914</v>
      </c>
      <c r="D29" s="399">
        <f>VLOOKUP($O$8,'D_Ch-5-1'!$B$161:$O$210,MATCH("Construction",'D_Ch-5-1'!$B$161:$O$161,0),FALSE)</f>
        <v>1.0638859279969402</v>
      </c>
      <c r="E29" s="399">
        <f>VLOOKUP($O$8,'D_Ch-5-1'!$B$161:$O$210,MATCH("Commerce ; répar auto,moto",'D_Ch-5-1'!$B$161:$O$161,0),FALSE)</f>
        <v>0.94782733760455395</v>
      </c>
      <c r="F29" s="399">
        <f>VLOOKUP($O$8,'D_Ch-5-1'!$B$161:$O$210,MATCH("Transports et entreposage",'D_Ch-5-1'!$B$161:$O$161,0),FALSE)</f>
        <v>0.90961813332269892</v>
      </c>
      <c r="G29" s="399">
        <f>VLOOKUP($O$8,'D_Ch-5-1'!$B$161:$O$210,MATCH("Hébergement et restauration",'D_Ch-5-1'!$B$161:$O$161,0),FALSE)</f>
        <v>0.84050182377081806</v>
      </c>
      <c r="H29" s="399">
        <f>VLOOKUP($O$8,'D_Ch-5-1'!$B$161:$O$210,MATCH("Information et communication",'D_Ch-5-1'!$B$161:$O$161,0),FALSE)</f>
        <v>0.97751519799182218</v>
      </c>
      <c r="I29" s="399">
        <f>VLOOKUP($O$8,'D_Ch-5-1'!$B$161:$O$210,MATCH("Activités financières et d'assurance",'D_Ch-5-1'!$B$161:$O$161,0),FALSE)</f>
        <v>0.65636835404355187</v>
      </c>
      <c r="J29" s="399">
        <f>VLOOKUP($O$8,'D_Ch-5-1'!$B$161:$O$210,MATCH("Activités immobilières",'D_Ch-5-1'!$B$161:$O$161,0),FALSE)</f>
        <v>0.86867330754782079</v>
      </c>
      <c r="K29" s="399">
        <f>VLOOKUP($O$8,'D_Ch-5-1'!$B$161:$O$210,MATCH("Ac spé, sci &amp; tec, svces adm &amp; stn",'D_Ch-5-1'!$B$161:$O$161,0),FALSE)</f>
        <v>1.0353659457547253</v>
      </c>
      <c r="L29" s="399">
        <f>VLOOKUP($O$8,'D_Ch-5-1'!$B$161:$O$210,MATCH("Admin pub, enseign, santé &amp; act soc",'D_Ch-5-1'!$B$161:$O$161,0),FALSE)</f>
        <v>0.97042288654339304</v>
      </c>
      <c r="M29" s="399">
        <f>VLOOKUP($O$8,'D_Ch-5-1'!$B$161:$O$210,MATCH("Autres activités de services",'D_Ch-5-1'!$B$161:$O$161,0),FALSE)</f>
        <v>0.81708379980805068</v>
      </c>
      <c r="N29" s="399"/>
      <c r="O29" s="310"/>
      <c r="P29" s="310"/>
      <c r="Q29" s="310"/>
      <c r="R29" s="310"/>
      <c r="S29" s="310"/>
      <c r="T29" s="310"/>
    </row>
    <row r="30" spans="1:20">
      <c r="A30" s="310"/>
      <c r="B30" s="310"/>
      <c r="C30" s="310"/>
      <c r="D30" s="310"/>
      <c r="E30" s="471"/>
      <c r="F30" s="471"/>
      <c r="G30" s="310"/>
      <c r="H30" s="310"/>
      <c r="I30" s="310"/>
      <c r="J30" s="310"/>
      <c r="K30" s="310"/>
      <c r="L30" s="310"/>
      <c r="M30" s="310"/>
      <c r="N30" s="310"/>
      <c r="O30" s="310"/>
      <c r="P30" s="310"/>
      <c r="Q30" s="310"/>
      <c r="R30" s="310"/>
      <c r="S30" s="310"/>
      <c r="T30" s="310"/>
    </row>
    <row r="31" spans="1:20">
      <c r="A31" s="310"/>
      <c r="B31" s="310"/>
      <c r="C31" s="310"/>
      <c r="D31" s="310"/>
      <c r="E31" s="310"/>
      <c r="F31" s="310"/>
      <c r="G31" s="310"/>
      <c r="H31" s="310"/>
      <c r="I31" s="310"/>
      <c r="J31" s="310"/>
      <c r="K31" s="310"/>
      <c r="L31" s="310"/>
      <c r="M31" s="310"/>
      <c r="N31" s="310"/>
      <c r="O31" s="399"/>
      <c r="P31" s="399"/>
      <c r="Q31" s="310"/>
      <c r="R31" s="310"/>
      <c r="S31" s="310"/>
      <c r="T31" s="310"/>
    </row>
    <row r="32" spans="1:20">
      <c r="A32" s="310"/>
      <c r="B32" s="310"/>
      <c r="C32" s="310"/>
      <c r="D32" s="310"/>
      <c r="E32" s="310"/>
      <c r="F32" s="310"/>
      <c r="G32" s="310"/>
      <c r="H32" s="310"/>
      <c r="I32" s="310"/>
      <c r="J32" s="310"/>
      <c r="K32" s="310"/>
      <c r="L32" s="310"/>
      <c r="M32" s="310"/>
      <c r="N32" s="310"/>
      <c r="O32" s="310"/>
      <c r="P32" s="310"/>
      <c r="Q32" s="310"/>
      <c r="R32" s="310"/>
      <c r="S32" s="310"/>
      <c r="T32" s="310"/>
    </row>
    <row r="33" spans="1:20">
      <c r="A33" s="310"/>
      <c r="B33" s="310"/>
      <c r="C33" s="310"/>
      <c r="D33" s="310"/>
      <c r="E33" s="310"/>
      <c r="F33" s="310"/>
      <c r="G33" s="310"/>
      <c r="H33" s="310"/>
      <c r="I33" s="310"/>
      <c r="J33" s="310"/>
      <c r="K33" s="310"/>
      <c r="L33" s="310"/>
      <c r="M33" s="310"/>
      <c r="N33" s="310"/>
      <c r="O33" s="310"/>
      <c r="P33" s="310"/>
      <c r="Q33" s="310"/>
      <c r="R33" s="310"/>
      <c r="S33" s="310"/>
      <c r="T33" s="310"/>
    </row>
    <row r="34" spans="1:20">
      <c r="A34" s="310"/>
      <c r="B34" s="310"/>
      <c r="C34" s="310"/>
      <c r="D34" s="310"/>
      <c r="E34" s="310"/>
      <c r="F34" s="310"/>
      <c r="G34" s="310"/>
      <c r="H34" s="310"/>
      <c r="I34" s="310"/>
      <c r="J34" s="310"/>
      <c r="K34" s="310"/>
      <c r="L34" s="310"/>
      <c r="M34" s="310"/>
      <c r="N34" s="310"/>
      <c r="O34" s="310"/>
      <c r="P34" s="310"/>
      <c r="Q34" s="310"/>
      <c r="R34" s="310"/>
      <c r="S34" s="310"/>
      <c r="T34" s="310"/>
    </row>
    <row r="35" spans="1:20">
      <c r="A35" s="310"/>
      <c r="B35" s="310"/>
      <c r="C35" s="310"/>
      <c r="D35" s="310"/>
      <c r="E35" s="310"/>
      <c r="F35" s="310"/>
      <c r="G35" s="310"/>
      <c r="H35" s="310"/>
      <c r="I35" s="310"/>
      <c r="J35" s="310"/>
      <c r="K35" s="310"/>
      <c r="L35" s="310"/>
      <c r="M35" s="310"/>
      <c r="N35" s="310"/>
      <c r="O35" s="310"/>
      <c r="P35" s="310"/>
      <c r="Q35" s="310"/>
      <c r="R35" s="310"/>
      <c r="S35" s="310"/>
      <c r="T35" s="310"/>
    </row>
    <row r="36" spans="1:20">
      <c r="A36" s="412" t="s">
        <v>597</v>
      </c>
      <c r="B36" s="412"/>
      <c r="C36" s="412"/>
      <c r="D36" s="412"/>
      <c r="E36" s="412"/>
      <c r="F36" s="310"/>
      <c r="G36" s="310"/>
      <c r="H36" s="310"/>
      <c r="I36" s="310"/>
      <c r="J36" s="310"/>
      <c r="K36" s="310"/>
      <c r="L36" s="310"/>
      <c r="M36" s="310"/>
      <c r="N36" s="310"/>
      <c r="O36" s="310"/>
      <c r="P36" s="310"/>
      <c r="Q36" s="310"/>
      <c r="R36" s="310"/>
      <c r="S36" s="310"/>
      <c r="T36" s="310"/>
    </row>
    <row r="37" spans="1:20" ht="13.5" customHeight="1">
      <c r="A37" s="310"/>
      <c r="B37" s="560"/>
      <c r="C37" s="560"/>
      <c r="D37" s="560"/>
      <c r="E37" s="585"/>
      <c r="F37" s="1046" t="str">
        <f>I8</f>
        <v>Bx Métropole</v>
      </c>
      <c r="G37" s="1046"/>
      <c r="H37" s="1046"/>
      <c r="I37" s="1046"/>
      <c r="J37" s="1046"/>
      <c r="K37" s="1046"/>
      <c r="L37" s="743"/>
      <c r="M37" s="743"/>
      <c r="N37" s="1047" t="str">
        <f>O8</f>
        <v>Isère</v>
      </c>
      <c r="O37" s="1047"/>
      <c r="P37" s="1047"/>
      <c r="Q37" s="1047"/>
      <c r="R37" s="1047"/>
      <c r="S37" s="1047"/>
      <c r="T37" s="585"/>
    </row>
    <row r="38" spans="1:20" s="216" customFormat="1" ht="28.5" customHeight="1">
      <c r="A38" s="508"/>
      <c r="B38" s="508"/>
      <c r="C38" s="508"/>
      <c r="D38" s="508"/>
      <c r="E38" s="1028" t="s">
        <v>1487</v>
      </c>
      <c r="F38" s="1030"/>
      <c r="G38" s="1028" t="s">
        <v>1488</v>
      </c>
      <c r="H38" s="1029"/>
      <c r="I38" s="1030"/>
      <c r="J38" s="1028" t="s">
        <v>1318</v>
      </c>
      <c r="K38" s="1029"/>
      <c r="L38" s="1030"/>
      <c r="M38" s="1028" t="s">
        <v>1487</v>
      </c>
      <c r="N38" s="1030"/>
      <c r="O38" s="1028" t="s">
        <v>1488</v>
      </c>
      <c r="P38" s="1029"/>
      <c r="Q38" s="1030"/>
      <c r="R38" s="1028" t="s">
        <v>1318</v>
      </c>
      <c r="S38" s="1029"/>
      <c r="T38" s="1030"/>
    </row>
    <row r="39" spans="1:20" s="216" customFormat="1" ht="12">
      <c r="A39" s="473" t="s">
        <v>454</v>
      </c>
      <c r="B39" s="509"/>
      <c r="C39" s="509"/>
      <c r="D39" s="474"/>
      <c r="E39" s="1017" t="e">
        <f>VLOOKUP($I$8,'D_Ch5-2'!$B$58:$H$107,MATCH("Agriculture",'D_Ch5-2'!$B$58:$H$58,0),FALSE)</f>
        <v>#N/A</v>
      </c>
      <c r="F39" s="1016" t="e">
        <f>VLOOKUP($I$8,'D_Ch5-2'!$B$58:$H$107,MATCH("Agriculture",'D_Ch5-2'!$B$58:$H$58,0),FALSE)</f>
        <v>#N/A</v>
      </c>
      <c r="G39" s="1040" t="e">
        <f>VLOOKUP($I$8,'D_Ch5-2'!$B$58:$O$107,MATCH("% Agriculture",'D_Ch5-2'!$B$58:$O$58,0),FALSE)</f>
        <v>#N/A</v>
      </c>
      <c r="H39" s="1041"/>
      <c r="I39" s="1042"/>
      <c r="J39" s="1022" t="e">
        <f>VLOOKUP($I$8,'D_Ch5-2'!$B$114:$O$163,MATCH("MA Agric",'D_Ch5-2'!$B$114:$O$114,0),FALSE)</f>
        <v>#N/A</v>
      </c>
      <c r="K39" s="1023"/>
      <c r="L39" s="1023"/>
      <c r="M39" s="1015" t="e">
        <f>VLOOKUP($O$8,'D_Ch5-2'!$B$58:$H$107,MATCH("Agriculture",'D_Ch5-2'!$B$58:$H$58,0),FALSE)</f>
        <v>#N/A</v>
      </c>
      <c r="N39" s="1016" t="e">
        <f>VLOOKUP($I$8,'D_Ch5-2'!$B$58:$H$107,MATCH("Agriculture",'D_Ch5-2'!$B$58:$H$58,0),FALSE)</f>
        <v>#N/A</v>
      </c>
      <c r="O39" s="1018" t="e">
        <f>VLOOKUP($O$8,'D_Ch5-2'!$B$58:$O$107,MATCH("% Agriculture",'D_Ch5-2'!$B$58:$O$58,0),FALSE)</f>
        <v>#N/A</v>
      </c>
      <c r="P39" s="1019"/>
      <c r="Q39" s="1019"/>
      <c r="R39" s="1022" t="e">
        <f>VLOOKUP($O$8,'D_Ch5-2'!$B$114:$O$163,MATCH("MA Agric",'D_Ch5-2'!$B$114:$O$114,0),FALSE)</f>
        <v>#N/A</v>
      </c>
      <c r="S39" s="1023"/>
      <c r="T39" s="1023"/>
    </row>
    <row r="40" spans="1:20" s="216" customFormat="1" ht="12">
      <c r="A40" s="473" t="s">
        <v>456</v>
      </c>
      <c r="B40" s="474"/>
      <c r="C40" s="474"/>
      <c r="D40" s="474"/>
      <c r="E40" s="1017">
        <f>VLOOKUP($I$8,'D_Ch5-2'!$B$58:$H$107,MATCH("Industrie",'D_Ch5-2'!$B$58:$H$58,0),FALSE)</f>
        <v>31843</v>
      </c>
      <c r="F40" s="1016" t="e">
        <f>VLOOKUP($I$8,'D_Ch5-2'!$B$58:$H$107,MATCH("Agriculture",'D_Ch5-2'!$B$58:$H$58,0),FALSE)</f>
        <v>#N/A</v>
      </c>
      <c r="G40" s="1018">
        <f>VLOOKUP($I$8,'D_Ch5-2'!$B$58:$O$107,MATCH("% Industrie",'D_Ch5-2'!$B$58:$O$58,0),FALSE)</f>
        <v>0.10969904504678306</v>
      </c>
      <c r="H40" s="1019"/>
      <c r="I40" s="1043"/>
      <c r="J40" s="1022">
        <f>VLOOKUP($I$8,'D_Ch5-2'!$B$114:$O$163,MATCH("MA Industrie",'D_Ch5-2'!$B$114:$O$114,0),FALSE)</f>
        <v>-1.1254629222470112E-3</v>
      </c>
      <c r="K40" s="1023"/>
      <c r="L40" s="1023"/>
      <c r="M40" s="1015">
        <f>VLOOKUP($O$8,'D_Ch5-2'!$B$58:$H$107,MATCH("Industrie",'D_Ch5-2'!$B$58:$H$58,0),FALSE)</f>
        <v>78877</v>
      </c>
      <c r="N40" s="1016" t="e">
        <f>VLOOKUP($I$8,'D_Ch5-2'!$B$58:$H$107,MATCH("Agriculture",'D_Ch5-2'!$B$58:$H$58,0),FALSE)</f>
        <v>#N/A</v>
      </c>
      <c r="O40" s="1018">
        <f>VLOOKUP($O$8,'D_Ch5-2'!$B$58:$O$107,MATCH("% Industrie",'D_Ch5-2'!$B$58:$O$58,0),FALSE)</f>
        <v>0.23220835958337505</v>
      </c>
      <c r="P40" s="1019"/>
      <c r="Q40" s="1019"/>
      <c r="R40" s="1022">
        <f>VLOOKUP($O$8,'D_Ch5-2'!$B$114:$O$163,MATCH("MA Industrie",'D_Ch5-2'!$B$114:$O$114,0),FALSE)</f>
        <v>-1.04270262093412E-2</v>
      </c>
      <c r="S40" s="1023"/>
      <c r="T40" s="1023"/>
    </row>
    <row r="41" spans="1:20" s="216" customFormat="1" ht="12">
      <c r="A41" s="473" t="s">
        <v>277</v>
      </c>
      <c r="B41" s="474"/>
      <c r="C41" s="474"/>
      <c r="D41" s="474"/>
      <c r="E41" s="1017">
        <f>VLOOKUP($I$8,'D_Ch5-2'!$B$58:$H$107,MATCH("Construction",'D_Ch5-2'!$B$58:$H$58,0),FALSE)</f>
        <v>20179</v>
      </c>
      <c r="F41" s="1016" t="e">
        <f>VLOOKUP($I$8,'D_Ch5-2'!$B$58:$H$107,MATCH("Agriculture",'D_Ch5-2'!$B$58:$H$58,0),FALSE)</f>
        <v>#N/A</v>
      </c>
      <c r="G41" s="1018">
        <f>VLOOKUP($I$8,'D_Ch5-2'!$B$58:$O$107,MATCH("% Construction",'D_Ch5-2'!$B$58:$O$58,0),FALSE)</f>
        <v>6.9516597996389637E-2</v>
      </c>
      <c r="H41" s="1019"/>
      <c r="I41" s="1043"/>
      <c r="J41" s="1022">
        <f>VLOOKUP($I$8,'D_Ch5-2'!$B$114:$O$163,MATCH("MA Construction",'D_Ch5-2'!$B$114:$O$114,0),FALSE)</f>
        <v>1.2164916277856979E-3</v>
      </c>
      <c r="K41" s="1023"/>
      <c r="L41" s="1023"/>
      <c r="M41" s="1015">
        <f>VLOOKUP($O$8,'D_Ch5-2'!$B$58:$H$107,MATCH("Construction",'D_Ch5-2'!$B$58:$H$58,0),FALSE)</f>
        <v>27316</v>
      </c>
      <c r="N41" s="1016" t="e">
        <f>VLOOKUP($I$8,'D_Ch5-2'!$B$58:$H$107,MATCH("Agriculture",'D_Ch5-2'!$B$58:$H$58,0),FALSE)</f>
        <v>#N/A</v>
      </c>
      <c r="O41" s="1018">
        <f>VLOOKUP($O$8,'D_Ch5-2'!$B$58:$O$107,MATCH("% Construction",'D_Ch5-2'!$B$58:$O$58,0),FALSE)</f>
        <v>8.0416389446600053E-2</v>
      </c>
      <c r="P41" s="1019"/>
      <c r="Q41" s="1019"/>
      <c r="R41" s="1022">
        <f>VLOOKUP($O$8,'D_Ch5-2'!$B$114:$O$163,MATCH("MA Construction",'D_Ch5-2'!$B$114:$O$114,0),FALSE)</f>
        <v>-4.9524031818760058E-3</v>
      </c>
      <c r="S41" s="1023"/>
      <c r="T41" s="1023"/>
    </row>
    <row r="42" spans="1:20" s="216" customFormat="1" ht="12">
      <c r="A42" s="473" t="s">
        <v>455</v>
      </c>
      <c r="B42" s="474"/>
      <c r="C42" s="474"/>
      <c r="D42" s="474"/>
      <c r="E42" s="1017">
        <f>VLOOKUP($I$8,'D_Ch5-2'!$B$58:$H$107,MATCH("Commerce",'D_Ch5-2'!$B$58:$H$58,0),FALSE)</f>
        <v>46518</v>
      </c>
      <c r="F42" s="1016" t="e">
        <f>VLOOKUP($I$8,'D_Ch5-2'!$B$58:$H$107,MATCH("Agriculture",'D_Ch5-2'!$B$58:$H$58,0),FALSE)</f>
        <v>#N/A</v>
      </c>
      <c r="G42" s="1018">
        <f>VLOOKUP($I$8,'D_Ch5-2'!$B$58:$O$107,MATCH("% Commerce",'D_Ch5-2'!$B$58:$O$58,0),FALSE)</f>
        <v>0.16025437859140956</v>
      </c>
      <c r="H42" s="1019"/>
      <c r="I42" s="1043"/>
      <c r="J42" s="1022">
        <f>VLOOKUP($I$8,'D_Ch5-2'!$B$114:$O$163,MATCH("MA Commerce",'D_Ch5-2'!$B$114:$O$114,0),FALSE)</f>
        <v>6.0944352711767976E-3</v>
      </c>
      <c r="K42" s="1023"/>
      <c r="L42" s="1023"/>
      <c r="M42" s="1015">
        <f>VLOOKUP($O$8,'D_Ch5-2'!$B$58:$H$107,MATCH("Commerce",'D_Ch5-2'!$B$58:$H$58,0),FALSE)</f>
        <v>53884</v>
      </c>
      <c r="N42" s="1016" t="e">
        <f>VLOOKUP($I$8,'D_Ch5-2'!$B$58:$H$107,MATCH("Agriculture",'D_Ch5-2'!$B$58:$H$58,0),FALSE)</f>
        <v>#N/A</v>
      </c>
      <c r="O42" s="1018">
        <f>VLOOKUP($O$8,'D_Ch5-2'!$B$58:$O$107,MATCH("% Commerce",'D_Ch5-2'!$B$58:$O$58,0),FALSE)</f>
        <v>0.15863071931983444</v>
      </c>
      <c r="P42" s="1019"/>
      <c r="Q42" s="1019"/>
      <c r="R42" s="1022">
        <f>VLOOKUP($O$8,'D_Ch5-2'!$B$114:$O$163,MATCH("MA Commerce",'D_Ch5-2'!$B$114:$O$114,0),FALSE)</f>
        <v>3.9428082031689234E-3</v>
      </c>
      <c r="S42" s="1023"/>
      <c r="T42" s="1023"/>
    </row>
    <row r="43" spans="1:20" s="216" customFormat="1" ht="12">
      <c r="A43" s="473" t="s">
        <v>457</v>
      </c>
      <c r="B43" s="474"/>
      <c r="C43" s="474"/>
      <c r="D43" s="474"/>
      <c r="E43" s="1017">
        <f>VLOOKUP($I$8,'D_Ch5-2'!$B$58:$H$107,MATCH("Service",'D_Ch5-2'!$B$58:$H$58,0),FALSE)</f>
        <v>181040</v>
      </c>
      <c r="F43" s="1016" t="e">
        <f>VLOOKUP($I$8,'D_Ch5-2'!$B$58:$H$107,MATCH("Agriculture",'D_Ch5-2'!$B$58:$H$58,0),FALSE)</f>
        <v>#N/A</v>
      </c>
      <c r="G43" s="1018">
        <f>VLOOKUP($I$8,'D_Ch5-2'!$B$58:$O$107,MATCH("% Service",'D_Ch5-2'!$B$58:$O$58,0),FALSE)</f>
        <v>0.62368228858052333</v>
      </c>
      <c r="H43" s="1019"/>
      <c r="I43" s="1043"/>
      <c r="J43" s="1022">
        <f>VLOOKUP($I$8,'D_Ch5-2'!$B$114:$O$163,MATCH("MA Service",'D_Ch5-2'!$B$114:$O$114,0),FALSE)</f>
        <v>1.8656542008719107E-2</v>
      </c>
      <c r="K43" s="1023"/>
      <c r="L43" s="1023"/>
      <c r="M43" s="1015">
        <f>VLOOKUP($O$8,'D_Ch5-2'!$B$58:$H$107,MATCH("Service",'D_Ch5-2'!$B$58:$H$58,0),FALSE)</f>
        <v>171275</v>
      </c>
      <c r="N43" s="1016" t="e">
        <f>VLOOKUP($I$8,'D_Ch5-2'!$B$58:$H$107,MATCH("Agriculture",'D_Ch5-2'!$B$58:$H$58,0),FALSE)</f>
        <v>#N/A</v>
      </c>
      <c r="O43" s="1018">
        <f>VLOOKUP($O$8,'D_Ch5-2'!$B$58:$O$107,MATCH("% Service",'D_Ch5-2'!$B$58:$O$58,0),FALSE)</f>
        <v>0.50422159549225454</v>
      </c>
      <c r="P43" s="1019"/>
      <c r="Q43" s="1019"/>
      <c r="R43" s="1022">
        <f>VLOOKUP($O$8,'D_Ch5-2'!$B$114:$O$163,MATCH("MA Service",'D_Ch5-2'!$B$114:$O$114,0),FALSE)</f>
        <v>1.4216334353657954E-2</v>
      </c>
      <c r="S43" s="1023"/>
      <c r="T43" s="1023"/>
    </row>
    <row r="44" spans="1:20" s="216" customFormat="1" ht="12">
      <c r="A44" s="473" t="s">
        <v>1181</v>
      </c>
      <c r="B44" s="474"/>
      <c r="C44" s="474"/>
      <c r="D44" s="474"/>
      <c r="E44" s="1017">
        <f>VLOOKUP($I$8,'D_Ch5-2'!$B$58:$H$107,MATCH("Support service public",'D_Ch5-2'!$B$58:$H$58,0),FALSE)</f>
        <v>10696</v>
      </c>
      <c r="F44" s="1016" t="e">
        <f>VLOOKUP($I$8,'D_Ch5-2'!$B$58:$H$107,MATCH("Agriculture",'D_Ch5-2'!$B$58:$H$58,0),FALSE)</f>
        <v>#N/A</v>
      </c>
      <c r="G44" s="1020">
        <f>VLOOKUP($I$8,'D_Ch5-2'!$B$58:$O$107,MATCH("%Support service public",'D_Ch5-2'!$B$58:$O$58,0),FALSE)</f>
        <v>3.6847689784894375E-2</v>
      </c>
      <c r="H44" s="1021"/>
      <c r="I44" s="1027"/>
      <c r="J44" s="1024">
        <f>VLOOKUP($I$8,'D_Ch5-2'!$B$114:$O$163,MATCH("MA Support service public",'D_Ch5-2'!$B$114:$O$114,0),FALSE)</f>
        <v>8.8676317715391233E-3</v>
      </c>
      <c r="K44" s="1025"/>
      <c r="L44" s="1026"/>
      <c r="M44" s="1015">
        <f>VLOOKUP($O$8,'D_Ch5-2'!$B$58:$H$107,MATCH("Support service public",'D_Ch5-2'!$B$58:$H$58,0),FALSE)</f>
        <v>8330</v>
      </c>
      <c r="N44" s="1016" t="e">
        <f>VLOOKUP($I$8,'D_Ch5-2'!$B$58:$H$107,MATCH("Agriculture",'D_Ch5-2'!$B$58:$H$58,0),FALSE)</f>
        <v>#N/A</v>
      </c>
      <c r="O44" s="1020">
        <f>VLOOKUP($O$8,'D_Ch5-2'!$B$58:$O$107,MATCH("%Support service public",'D_Ch5-2'!$B$58:$O$58,0),FALSE)</f>
        <v>2.4522936157935951E-2</v>
      </c>
      <c r="P44" s="1021"/>
      <c r="Q44" s="1021"/>
      <c r="R44" s="1024">
        <f>VLOOKUP($O$8,'D_Ch5-2'!$B$114:$O$163,MATCH("MA Support service public",'D_Ch5-2'!$B$114:$O$114,0),FALSE)</f>
        <v>-6.352357165766289E-3</v>
      </c>
      <c r="S44" s="1025"/>
      <c r="T44" s="1026"/>
    </row>
    <row r="45" spans="1:20" s="330" customFormat="1">
      <c r="A45" s="510" t="s">
        <v>1142</v>
      </c>
      <c r="B45" s="310"/>
      <c r="C45" s="511"/>
      <c r="D45" s="511"/>
      <c r="E45" s="512"/>
      <c r="F45" s="512"/>
      <c r="G45" s="513"/>
      <c r="H45" s="513"/>
      <c r="I45" s="513"/>
      <c r="J45" s="513"/>
      <c r="K45" s="513"/>
      <c r="L45" s="513"/>
      <c r="M45" s="512"/>
      <c r="N45" s="512"/>
      <c r="O45" s="514"/>
      <c r="P45" s="514"/>
      <c r="Q45" s="514"/>
      <c r="R45" s="513"/>
      <c r="S45" s="513"/>
      <c r="T45" s="513"/>
    </row>
    <row r="46" spans="1:20">
      <c r="A46" s="591" t="s">
        <v>1319</v>
      </c>
      <c r="B46" s="310"/>
      <c r="C46" s="310"/>
      <c r="D46" s="310"/>
      <c r="E46" s="310"/>
      <c r="F46" s="310"/>
      <c r="G46" s="310"/>
      <c r="H46" s="310"/>
      <c r="I46" s="310"/>
      <c r="J46" s="310"/>
      <c r="K46" s="310"/>
      <c r="L46" s="310"/>
      <c r="M46" s="464"/>
      <c r="N46" s="464"/>
      <c r="O46" s="310"/>
      <c r="P46" s="310"/>
      <c r="Q46" s="310"/>
      <c r="R46" s="310"/>
      <c r="S46" s="310"/>
      <c r="T46" s="310"/>
    </row>
    <row r="47" spans="1:20">
      <c r="A47" s="595"/>
      <c r="B47" s="595"/>
      <c r="C47" s="595"/>
      <c r="D47" s="595"/>
      <c r="E47" s="595"/>
      <c r="F47" s="595"/>
      <c r="G47" s="595"/>
      <c r="H47" s="595"/>
      <c r="I47" s="595"/>
      <c r="J47" s="595"/>
      <c r="K47" s="595"/>
      <c r="L47" s="595"/>
      <c r="M47" s="644"/>
      <c r="N47" s="644"/>
      <c r="O47" s="595"/>
      <c r="P47" s="595"/>
      <c r="Q47" s="310"/>
      <c r="R47" s="310"/>
      <c r="S47" s="310"/>
      <c r="T47" s="310"/>
    </row>
    <row r="48" spans="1:20">
      <c r="A48" s="595"/>
      <c r="B48" s="595"/>
      <c r="C48" s="595"/>
      <c r="D48" s="595"/>
      <c r="E48" s="595"/>
      <c r="F48" s="595"/>
      <c r="G48" s="595"/>
      <c r="H48" s="595"/>
      <c r="I48" s="595"/>
      <c r="J48" s="595"/>
      <c r="K48" s="595"/>
      <c r="L48" s="595"/>
      <c r="M48" s="595"/>
      <c r="N48" s="595"/>
      <c r="O48" s="595"/>
      <c r="P48" s="595"/>
      <c r="Q48" s="310"/>
      <c r="R48" s="310"/>
      <c r="S48" s="310"/>
      <c r="T48" s="310"/>
    </row>
    <row r="49" spans="1:20">
      <c r="A49" s="399"/>
      <c r="B49" s="399"/>
      <c r="C49" s="399"/>
      <c r="D49" s="399"/>
      <c r="E49" s="399"/>
      <c r="F49" s="399"/>
      <c r="G49" s="399"/>
      <c r="H49" s="399"/>
      <c r="I49" s="595"/>
      <c r="J49" s="595"/>
      <c r="K49" s="595"/>
      <c r="L49" s="595"/>
      <c r="M49" s="595"/>
      <c r="N49" s="595"/>
      <c r="O49" s="595"/>
      <c r="P49" s="595"/>
      <c r="Q49" s="310"/>
      <c r="R49" s="310"/>
      <c r="S49" s="310"/>
      <c r="T49" s="310"/>
    </row>
    <row r="50" spans="1:20">
      <c r="A50" s="515" t="e">
        <f>VLOOKUP($I$8,'D_Ch5-2'!$B$5:$S$53,MATCH("Base 100",'D_Ch5-2'!$B$5:$S$5,0),FALSE)</f>
        <v>#N/A</v>
      </c>
      <c r="B50" s="516" t="e">
        <f>VLOOKUP($I$8,'D_Ch5-2'!$B$5:$S$53,MATCH("Base 100_n-7",'D_Ch5-2'!$B$5:$S$5,0),FALSE)</f>
        <v>#N/A</v>
      </c>
      <c r="C50" s="516" t="e">
        <f>VLOOKUP($I$8,'D_Ch5-2'!$B$5:$S$53,MATCH("Base 100_n-6",'D_Ch5-2'!$B$5:$S$5,0),FALSE)</f>
        <v>#N/A</v>
      </c>
      <c r="D50" s="516" t="e">
        <f>VLOOKUP($I$8,'D_Ch5-2'!$B$5:$S$53,MATCH("Base 100_n-5",'D_Ch5-2'!$B$5:$S$5,0),FALSE)</f>
        <v>#N/A</v>
      </c>
      <c r="E50" s="516" t="e">
        <f>VLOOKUP($I$8,'D_Ch5-2'!$B$5:$S$53,MATCH("Base 100_n-4",'D_Ch5-2'!$B$5:$S$5,0),FALSE)</f>
        <v>#N/A</v>
      </c>
      <c r="F50" s="516" t="e">
        <f>VLOOKUP($I$8,'D_Ch5-2'!$B$5:$S$53,MATCH("Base 100_n-3",'D_Ch5-2'!$B$5:$S$5,0),FALSE)</f>
        <v>#N/A</v>
      </c>
      <c r="G50" s="516" t="e">
        <f>VLOOKUP($I$8,'D_Ch5-2'!$B$5:$S$53,MATCH("Base 100_n-2",'D_Ch5-2'!$B$5:$S$5,0),FALSE)</f>
        <v>#N/A</v>
      </c>
      <c r="H50" s="516" t="e">
        <f>VLOOKUP($I$8,'D_Ch5-2'!$B$5:$S$53,MATCH("Base 100_n-1",'D_Ch5-2'!$B$5:$S$5,0),FALSE)</f>
        <v>#N/A</v>
      </c>
      <c r="I50" s="622"/>
      <c r="J50" s="595"/>
      <c r="K50" s="595"/>
      <c r="L50" s="595"/>
      <c r="M50" s="595"/>
      <c r="N50" s="595"/>
      <c r="O50" s="595"/>
      <c r="P50" s="595"/>
      <c r="Q50" s="310"/>
      <c r="R50" s="310"/>
      <c r="S50" s="310"/>
      <c r="T50" s="310"/>
    </row>
    <row r="51" spans="1:20">
      <c r="A51" s="515">
        <f>VLOOKUP($O$8,'D_Ch5-2'!$B$5:$S$53,MATCH("Base 100",'D_Ch5-2'!$B$5:$S$5,0),FALSE)</f>
        <v>100</v>
      </c>
      <c r="B51" s="516">
        <f>VLOOKUP($O$8,'D_Ch5-2'!$B$5:$S$53,MATCH("Base 100_n-7",'D_Ch5-2'!$B$5:$S$5,0),FALSE)</f>
        <v>101.34707728544805</v>
      </c>
      <c r="C51" s="516">
        <f>VLOOKUP($O$8,'D_Ch5-2'!$B$5:$S$53,MATCH("Base 100_n-6",'D_Ch5-2'!$B$5:$S$5,0),FALSE)</f>
        <v>101.92652084964821</v>
      </c>
      <c r="D51" s="516">
        <f>VLOOKUP($O$8,'D_Ch5-2'!$B$5:$S$53,MATCH("Base 100_n-5",'D_Ch5-2'!$B$5:$S$5,0),FALSE)</f>
        <v>101.20896999277593</v>
      </c>
      <c r="E51" s="516">
        <f>VLOOKUP($O$8,'D_Ch5-2'!$B$5:$S$53,MATCH("Base 100_n-4",'D_Ch5-2'!$B$5:$S$5,0),FALSE)</f>
        <v>101.83090810856751</v>
      </c>
      <c r="F51" s="516">
        <f>VLOOKUP($O$8,'D_Ch5-2'!$B$5:$S$53,MATCH("Base 100_n-3",'D_Ch5-2'!$B$5:$S$5,0),FALSE)</f>
        <v>101.53010738980252</v>
      </c>
      <c r="G51" s="516">
        <f>VLOOKUP($O$8,'D_Ch5-2'!$B$5:$S$53,MATCH("Base 100_n-2",'D_Ch5-2'!$B$5:$S$5,0),FALSE)</f>
        <v>101.77596872401003</v>
      </c>
      <c r="H51" s="516">
        <f>VLOOKUP($O$8,'D_Ch5-2'!$B$5:$S$53,MATCH("Base 100_n-1",'D_Ch5-2'!$B$5:$S$5,0),FALSE)</f>
        <v>103.10453052626467</v>
      </c>
      <c r="I51" s="595"/>
      <c r="J51" s="595"/>
      <c r="K51" s="595"/>
      <c r="L51" s="595"/>
      <c r="M51" s="595"/>
      <c r="N51" s="595"/>
      <c r="O51" s="595"/>
      <c r="P51" s="595"/>
      <c r="Q51" s="310"/>
      <c r="R51" s="310"/>
      <c r="S51" s="310"/>
      <c r="T51" s="310"/>
    </row>
    <row r="52" spans="1:20">
      <c r="A52" s="399">
        <v>2008</v>
      </c>
      <c r="B52" s="399">
        <v>2009</v>
      </c>
      <c r="C52" s="399">
        <v>2010</v>
      </c>
      <c r="D52" s="399">
        <v>2011</v>
      </c>
      <c r="E52" s="399">
        <v>2012</v>
      </c>
      <c r="F52" s="399">
        <v>2013</v>
      </c>
      <c r="G52" s="399">
        <v>2014</v>
      </c>
      <c r="H52" s="399">
        <v>2015</v>
      </c>
      <c r="I52" s="595"/>
      <c r="J52" s="595"/>
      <c r="K52" s="595"/>
      <c r="L52" s="595"/>
      <c r="M52" s="595"/>
      <c r="N52" s="595"/>
      <c r="O52" s="595"/>
      <c r="P52" s="595"/>
      <c r="Q52" s="310"/>
      <c r="R52" s="310"/>
      <c r="S52" s="310"/>
      <c r="T52" s="310"/>
    </row>
    <row r="53" spans="1:20" ht="14.25" customHeight="1">
      <c r="A53" s="595"/>
      <c r="B53" s="595"/>
      <c r="C53" s="595"/>
      <c r="D53" s="595"/>
      <c r="E53" s="595"/>
      <c r="F53" s="595"/>
      <c r="G53" s="595"/>
      <c r="H53" s="595"/>
      <c r="I53" s="595"/>
      <c r="J53" s="595"/>
      <c r="K53" s="595"/>
      <c r="L53" s="595"/>
      <c r="M53" s="595"/>
      <c r="N53" s="595"/>
      <c r="O53" s="595"/>
      <c r="P53" s="595"/>
      <c r="Q53" s="310"/>
      <c r="R53" s="310"/>
      <c r="S53" s="310"/>
      <c r="T53" s="310"/>
    </row>
    <row r="54" spans="1:20" s="211" customFormat="1" ht="15.75" customHeight="1">
      <c r="A54" s="517"/>
      <c r="B54" s="428"/>
      <c r="C54" s="428"/>
      <c r="D54" s="428"/>
      <c r="E54" s="428"/>
      <c r="F54" s="1031" t="s">
        <v>1039</v>
      </c>
      <c r="G54" s="1032"/>
      <c r="H54" s="1032"/>
      <c r="I54" s="1032"/>
      <c r="J54" s="1032"/>
      <c r="K54" s="1032"/>
      <c r="L54" s="1032"/>
      <c r="M54" s="1032"/>
      <c r="N54" s="1032"/>
      <c r="O54" s="1032"/>
      <c r="P54" s="1032"/>
      <c r="Q54" s="1032"/>
      <c r="R54" s="1032"/>
      <c r="S54" s="1032"/>
      <c r="T54" s="1033"/>
    </row>
    <row r="55" spans="1:20" s="198" customFormat="1" ht="16.7" customHeight="1">
      <c r="A55" s="429"/>
      <c r="B55" s="428"/>
      <c r="C55" s="428"/>
      <c r="D55" s="428"/>
      <c r="E55" s="428"/>
      <c r="F55" s="1034"/>
      <c r="G55" s="1035"/>
      <c r="H55" s="1035"/>
      <c r="I55" s="1035"/>
      <c r="J55" s="1035"/>
      <c r="K55" s="1035"/>
      <c r="L55" s="1035"/>
      <c r="M55" s="1035"/>
      <c r="N55" s="1035"/>
      <c r="O55" s="1035"/>
      <c r="P55" s="1035"/>
      <c r="Q55" s="1035"/>
      <c r="R55" s="1035"/>
      <c r="S55" s="1035"/>
      <c r="T55" s="1036"/>
    </row>
    <row r="56" spans="1:20" s="198" customFormat="1" ht="16.7" customHeight="1">
      <c r="A56" s="430"/>
      <c r="B56" s="428"/>
      <c r="C56" s="428"/>
      <c r="D56" s="428"/>
      <c r="E56" s="428"/>
      <c r="F56" s="1034"/>
      <c r="G56" s="1035"/>
      <c r="H56" s="1035"/>
      <c r="I56" s="1035"/>
      <c r="J56" s="1035"/>
      <c r="K56" s="1035"/>
      <c r="L56" s="1035"/>
      <c r="M56" s="1035"/>
      <c r="N56" s="1035"/>
      <c r="O56" s="1035"/>
      <c r="P56" s="1035"/>
      <c r="Q56" s="1035"/>
      <c r="R56" s="1035"/>
      <c r="S56" s="1035"/>
      <c r="T56" s="1036"/>
    </row>
    <row r="57" spans="1:20" s="198" customFormat="1" ht="16.7" customHeight="1">
      <c r="A57" s="430"/>
      <c r="B57" s="428"/>
      <c r="C57" s="428"/>
      <c r="D57" s="428"/>
      <c r="E57" s="428"/>
      <c r="F57" s="1037"/>
      <c r="G57" s="1038"/>
      <c r="H57" s="1038"/>
      <c r="I57" s="1038"/>
      <c r="J57" s="1038"/>
      <c r="K57" s="1038"/>
      <c r="L57" s="1038"/>
      <c r="M57" s="1038"/>
      <c r="N57" s="1038"/>
      <c r="O57" s="1038"/>
      <c r="P57" s="1038"/>
      <c r="Q57" s="1038"/>
      <c r="R57" s="1038"/>
      <c r="S57" s="1038"/>
      <c r="T57" s="1039"/>
    </row>
    <row r="58" spans="1:20" s="198" customFormat="1" ht="5.25" customHeight="1">
      <c r="A58" s="431"/>
      <c r="B58" s="432"/>
      <c r="C58" s="431"/>
      <c r="D58" s="431"/>
      <c r="E58" s="431"/>
      <c r="F58" s="433"/>
      <c r="G58" s="433"/>
      <c r="H58" s="383"/>
      <c r="I58" s="383"/>
      <c r="J58" s="383"/>
      <c r="K58" s="383"/>
      <c r="L58" s="383"/>
      <c r="M58" s="383"/>
      <c r="N58" s="383"/>
      <c r="O58" s="383"/>
      <c r="P58" s="383"/>
      <c r="Q58" s="383"/>
      <c r="R58" s="383"/>
      <c r="S58" s="383"/>
      <c r="T58" s="383"/>
    </row>
    <row r="59" spans="1:20" s="198" customFormat="1" ht="15" customHeight="1">
      <c r="A59" s="1014" t="s">
        <v>810</v>
      </c>
      <c r="B59" s="1014"/>
      <c r="C59" s="1014"/>
      <c r="D59" s="1014"/>
      <c r="E59" s="1014"/>
      <c r="F59" s="1014"/>
      <c r="G59" s="1014"/>
      <c r="H59" s="1014"/>
      <c r="I59" s="1014"/>
      <c r="J59" s="1014"/>
      <c r="K59" s="1014"/>
      <c r="L59" s="1014"/>
      <c r="M59" s="1014"/>
      <c r="N59" s="1014"/>
      <c r="O59" s="1014"/>
      <c r="P59" s="1014"/>
      <c r="Q59" s="1014"/>
      <c r="R59" s="1014"/>
      <c r="S59" s="1014"/>
      <c r="T59" s="1014"/>
    </row>
    <row r="60" spans="1:20" s="198" customFormat="1" ht="15" customHeight="1">
      <c r="A60" s="1014"/>
      <c r="B60" s="1014"/>
      <c r="C60" s="1014"/>
      <c r="D60" s="1014"/>
      <c r="E60" s="1014"/>
      <c r="F60" s="1014"/>
      <c r="G60" s="1014"/>
      <c r="H60" s="1014"/>
      <c r="I60" s="1014"/>
      <c r="J60" s="1014"/>
      <c r="K60" s="1014"/>
      <c r="L60" s="1014"/>
      <c r="M60" s="1014"/>
      <c r="N60" s="1014"/>
      <c r="O60" s="1014"/>
      <c r="P60" s="1014"/>
      <c r="Q60" s="1014"/>
      <c r="R60" s="1014"/>
      <c r="S60" s="1014"/>
      <c r="T60" s="1014"/>
    </row>
    <row r="61" spans="1:20" s="213" customFormat="1" ht="15" customHeight="1" thickBot="1">
      <c r="A61" s="409"/>
      <c r="B61" s="409"/>
      <c r="C61" s="409"/>
      <c r="D61" s="409"/>
      <c r="E61" s="409"/>
      <c r="F61" s="409"/>
      <c r="G61" s="409"/>
      <c r="H61" s="409"/>
      <c r="I61" s="409"/>
      <c r="J61" s="409"/>
      <c r="K61" s="409"/>
      <c r="L61" s="409"/>
      <c r="M61" s="409"/>
      <c r="N61" s="409"/>
      <c r="O61" s="409"/>
      <c r="P61" s="409"/>
      <c r="Q61" s="409"/>
      <c r="R61" s="409"/>
      <c r="S61" s="409"/>
      <c r="T61" s="409"/>
    </row>
    <row r="62" spans="1:20" s="216" customFormat="1" ht="13.5" thickTop="1" thickBot="1">
      <c r="A62" s="1011" t="s">
        <v>1077</v>
      </c>
      <c r="B62" s="1012"/>
      <c r="C62" s="1013"/>
      <c r="D62" s="403"/>
      <c r="E62" s="557"/>
      <c r="F62" s="557"/>
      <c r="G62" s="557"/>
      <c r="H62" s="994" t="s">
        <v>70</v>
      </c>
      <c r="I62" s="995"/>
      <c r="J62" s="995"/>
      <c r="K62" s="996"/>
      <c r="L62" s="744"/>
      <c r="M62" s="744"/>
      <c r="N62" s="744"/>
      <c r="O62" s="997" t="s">
        <v>114</v>
      </c>
      <c r="P62" s="998"/>
      <c r="Q62" s="998"/>
      <c r="R62" s="999"/>
      <c r="S62" s="557"/>
      <c r="T62" s="403"/>
    </row>
    <row r="63" spans="1:20" ht="15.75" thickTop="1">
      <c r="A63" s="403"/>
      <c r="B63" s="403"/>
      <c r="C63" s="403"/>
      <c r="D63" s="403"/>
      <c r="E63" s="403"/>
      <c r="F63" s="403"/>
      <c r="G63" s="403"/>
      <c r="H63" s="403"/>
      <c r="I63" s="403"/>
      <c r="J63" s="403"/>
      <c r="K63" s="403"/>
      <c r="L63" s="403"/>
      <c r="M63" s="403"/>
      <c r="N63" s="403"/>
      <c r="O63" s="403"/>
      <c r="P63" s="403"/>
      <c r="Q63" s="403"/>
      <c r="R63" s="403"/>
      <c r="S63" s="403"/>
      <c r="T63" s="403"/>
    </row>
    <row r="64" spans="1:20">
      <c r="A64" s="412" t="s">
        <v>1448</v>
      </c>
      <c r="B64" s="412"/>
      <c r="C64" s="412"/>
      <c r="D64" s="412"/>
      <c r="E64" s="412"/>
      <c r="F64" s="412"/>
      <c r="G64" s="403"/>
      <c r="H64" s="403"/>
      <c r="I64" s="403"/>
      <c r="J64" s="403"/>
      <c r="K64" s="403"/>
      <c r="L64" s="403"/>
      <c r="M64" s="403"/>
      <c r="N64" s="403"/>
      <c r="O64" s="403"/>
      <c r="P64" s="403"/>
      <c r="Q64" s="403"/>
      <c r="R64" s="403"/>
      <c r="S64" s="403"/>
      <c r="T64" s="403"/>
    </row>
    <row r="65" spans="1:20" ht="28.5" customHeight="1">
      <c r="A65" s="403"/>
      <c r="B65" s="403"/>
      <c r="C65" s="403"/>
      <c r="D65" s="403"/>
      <c r="E65" s="403"/>
      <c r="F65" s="403"/>
      <c r="G65" s="1008" t="s">
        <v>982</v>
      </c>
      <c r="H65" s="1009"/>
      <c r="I65" s="1010"/>
      <c r="J65" s="1008" t="s">
        <v>1250</v>
      </c>
      <c r="K65" s="1009"/>
      <c r="L65" s="1010"/>
      <c r="M65" s="403"/>
      <c r="N65" s="1008" t="s">
        <v>982</v>
      </c>
      <c r="O65" s="1009"/>
      <c r="P65" s="1010"/>
      <c r="Q65" s="1008" t="s">
        <v>1250</v>
      </c>
      <c r="R65" s="1009"/>
      <c r="S65" s="1010"/>
      <c r="T65" s="403"/>
    </row>
    <row r="66" spans="1:20">
      <c r="A66" s="1000" t="s">
        <v>983</v>
      </c>
      <c r="B66" s="1001"/>
      <c r="C66" s="1001"/>
      <c r="D66" s="1002"/>
      <c r="E66" s="992" t="s">
        <v>1102</v>
      </c>
      <c r="F66" s="993"/>
      <c r="G66" s="518"/>
      <c r="H66" s="519">
        <f>VLOOKUP($H$62,'D_Ch-5-1'!$B$5:$P$54,MATCH("dont postes actifs sphère présentielle privé  N-1",'D_Ch-5-1'!$B$5:$P$5,0),FALSE)/VLOOKUP($H$62,'D_Ch-5-1'!$B$5:$P$54,MATCH("Total Effectifs actifs N-1",'D_Ch-5-1'!$B$5:$P$5,0),FALSE)</f>
        <v>0.43744097418974925</v>
      </c>
      <c r="I66" s="520"/>
      <c r="J66" s="473"/>
      <c r="K66" s="519">
        <f>VLOOKUP($H$62,'D_Ch-5-1'!$B$5:$P$54,MATCH("dont Etab actifs sphère présentielle privé  N-1",'D_Ch-5-1'!$B$5:$P$5,0),FALSE)/VLOOKUP($H$62,'D_Ch-5-1'!$B$5:$P$54,MATCH("Total etab actifs N-1",'D_Ch-5-1'!$B$5:$P$5,0),FALSE)</f>
        <v>0.59323599209735678</v>
      </c>
      <c r="L66" s="475"/>
      <c r="M66" s="403"/>
      <c r="N66" s="473"/>
      <c r="O66" s="519">
        <f>VLOOKUP($O$62,'D_Ch-5-1'!$B$5:$P$54,MATCH("dont postes actifs sphère présentielle privé  N-1",'D_Ch-5-1'!$B$5:$P$5,0),FALSE)/VLOOKUP($O$62,'D_Ch-5-1'!$B$5:$P$54,MATCH("Total Effectifs actifs N-1",'D_Ch-5-1'!$B$5:$P$5,0),FALSE)</f>
        <v>0.42583312430080911</v>
      </c>
      <c r="P66" s="475"/>
      <c r="Q66" s="473"/>
      <c r="R66" s="519">
        <f>VLOOKUP($O$62,'D_Ch-5-1'!$B$5:$P$54,MATCH("dont Etab actifs sphère présentielle privé  N-1",'D_Ch-5-1'!$B$5:$P$5,0),FALSE)/VLOOKUP($O$62,'D_Ch-5-1'!$B$5:$P$54,MATCH("Total etab actifs N-1",'D_Ch-5-1'!$B$5:$P$5,0),FALSE)</f>
        <v>0.57884265810867619</v>
      </c>
      <c r="S66" s="475"/>
      <c r="T66" s="403"/>
    </row>
    <row r="67" spans="1:20" ht="15.75" thickBot="1">
      <c r="A67" s="1003"/>
      <c r="B67" s="1004"/>
      <c r="C67" s="1004"/>
      <c r="D67" s="1005"/>
      <c r="E67" s="1006" t="s">
        <v>1103</v>
      </c>
      <c r="F67" s="1007"/>
      <c r="G67" s="521"/>
      <c r="H67" s="522">
        <f>VLOOKUP($H$62,'D_Ch-5-1'!$B$5:$P$54,MATCH("dont Effectifs sphère présentielle public N-1",'D_Ch-5-1'!$B$5:$P$5,0),FALSE)/VLOOKUP($H$62,'D_Ch-5-1'!$B$5:$P$54,MATCH("Total Effectifs actifs N-1",'D_Ch-5-1'!$B$5:$P$5,0),FALSE)</f>
        <v>0.25783029454573736</v>
      </c>
      <c r="I67" s="523"/>
      <c r="J67" s="524"/>
      <c r="K67" s="525">
        <f>VLOOKUP($H$62,'D_Ch-5-1'!$B$5:$P$54,MATCH("dont Etab actifs sphère présentielle public  N-1",'D_Ch-5-1'!$B$5:$P$5,0),FALSE)/VLOOKUP($H$62,'D_Ch-5-1'!$B$5:$P$54,MATCH("Total etab actifs N-1",'D_Ch-5-1'!$B$5:$P$5,0),FALSE)</f>
        <v>1.598064086227657E-2</v>
      </c>
      <c r="L67" s="526"/>
      <c r="M67" s="403"/>
      <c r="N67" s="524"/>
      <c r="O67" s="522">
        <f>VLOOKUP($O$62,'D_Ch-5-1'!$B$5:$P$54,MATCH("dont Effectifs sphère présentielle public N-1",'D_Ch-5-1'!$B$5:$P$5,0),FALSE)/VLOOKUP($O$62,'D_Ch-5-1'!$B$5:$P$54,MATCH("Total Effectifs actifs N-1",'D_Ch-5-1'!$B$5:$P$5,0),FALSE)</f>
        <v>0.23993210867738257</v>
      </c>
      <c r="P67" s="526"/>
      <c r="Q67" s="524"/>
      <c r="R67" s="525">
        <f>VLOOKUP($O$62,'D_Ch-5-1'!$B$5:$P$54,MATCH("dont Etab actifs sphère présentielle public  N-1",'D_Ch-5-1'!$B$5:$P$5,0),FALSE)/VLOOKUP($O$62,'D_Ch-5-1'!$B$5:$P$54,MATCH("Total etab actifs N-1",'D_Ch-5-1'!$B$5:$P$5,0),FALSE)</f>
        <v>2.0800890536275735E-2</v>
      </c>
      <c r="S67" s="526"/>
      <c r="T67" s="403"/>
    </row>
    <row r="68" spans="1:20" ht="15.75" thickTop="1">
      <c r="A68" s="986" t="s">
        <v>984</v>
      </c>
      <c r="B68" s="987"/>
      <c r="C68" s="987"/>
      <c r="D68" s="988"/>
      <c r="E68" s="989" t="s">
        <v>1102</v>
      </c>
      <c r="F68" s="991"/>
      <c r="G68" s="527"/>
      <c r="H68" s="519">
        <f>VLOOKUP($H$62,'D_Ch-5-1'!$B$5:$P$54,MATCH("dont postes actifs sphère productive privé N-1",'D_Ch-5-1'!$B$5:$P$5,0),FALSE)/VLOOKUP($H$62,'D_Ch-5-1'!$B$5:$P$54,MATCH("Total Effectifs actifs N-1",'D_Ch-5-1'!$B$5:$P$5,0),FALSE)</f>
        <v>0.29732620023776984</v>
      </c>
      <c r="I68" s="447"/>
      <c r="J68" s="527"/>
      <c r="K68" s="519">
        <f>VLOOKUP($H$62,'D_Ch-5-1'!$B$5:$P$54,MATCH("dont Etab actifs sphère productive privé N-1",'D_Ch-5-1'!$B$5:$P$5,0),FALSE)/VLOOKUP($H$62,'D_Ch-5-1'!$B$5:$P$54,MATCH("Total etab actifs N-1",'D_Ch-5-1'!$B$5:$P$5,0),FALSE)</f>
        <v>0.390362516220292</v>
      </c>
      <c r="L68" s="447"/>
      <c r="M68" s="403"/>
      <c r="N68" s="527"/>
      <c r="O68" s="519">
        <f>VLOOKUP($O$62,'D_Ch-5-1'!$B$5:$P$54,MATCH("dont postes actifs sphère productive privé N-1",'D_Ch-5-1'!$B$5:$P$5,0),FALSE)/VLOOKUP($O$62,'D_Ch-5-1'!$B$5:$P$54,MATCH("Total Effectifs actifs N-1",'D_Ch-5-1'!$B$5:$P$5,0),FALSE)</f>
        <v>0.32850575007277993</v>
      </c>
      <c r="P68" s="447"/>
      <c r="Q68" s="527"/>
      <c r="R68" s="519">
        <f>VLOOKUP($O$62,'D_Ch-5-1'!$B$5:$P$54,MATCH("dont Etab actifs sphère productive privé N-1",'D_Ch-5-1'!$B$5:$P$5,0),FALSE)/VLOOKUP($O$62,'D_Ch-5-1'!$B$5:$P$54,MATCH("Total etab actifs N-1",'D_Ch-5-1'!$B$5:$P$5,0),FALSE)</f>
        <v>0.40001894758033479</v>
      </c>
      <c r="S68" s="447"/>
      <c r="T68" s="403"/>
    </row>
    <row r="69" spans="1:20">
      <c r="A69" s="989"/>
      <c r="B69" s="990"/>
      <c r="C69" s="990"/>
      <c r="D69" s="991"/>
      <c r="E69" s="992" t="s">
        <v>1103</v>
      </c>
      <c r="F69" s="993"/>
      <c r="G69" s="473"/>
      <c r="H69" s="528">
        <f>VLOOKUP($H$62,'D_Ch-5-1'!$B$5:$P$54,MATCH("dont Effectifs sphère productive public N-1",'D_Ch-5-1'!$B$5:$P$5,0),FALSE)/VLOOKUP($H$62,'D_Ch-5-1'!$B$5:$P$54,MATCH("Total Effectifs actifs N-1",'D_Ch-5-1'!$B$5:$P$5,0),FALSE)</f>
        <v>7.4025310267435531E-3</v>
      </c>
      <c r="I69" s="475"/>
      <c r="J69" s="473"/>
      <c r="K69" s="528">
        <f>VLOOKUP($H$62,'D_Ch-5-1'!$B$5:$P$54,MATCH("dont Etab actifs sphère productive public N-1",'D_Ch-5-1'!$B$5:$P$5,0),FALSE)/VLOOKUP($H$62,'D_Ch-5-1'!$B$5:$P$54,MATCH("Total etab actifs N-1",'D_Ch-5-1'!$B$5:$P$5,0),FALSE)</f>
        <v>4.208508200745841E-4</v>
      </c>
      <c r="L69" s="475"/>
      <c r="M69" s="403"/>
      <c r="N69" s="473"/>
      <c r="O69" s="528">
        <f>VLOOKUP($O$62,'D_Ch-5-1'!$B$5:$P$54,MATCH("dont Effectifs sphère productive public N-1",'D_Ch-5-1'!$B$5:$P$5,0),FALSE)/VLOOKUP($O$62,'D_Ch-5-1'!$B$5:$P$54,MATCH("Total Effectifs actifs N-1",'D_Ch-5-1'!$B$5:$P$5,0),FALSE)</f>
        <v>5.7290169490284105E-3</v>
      </c>
      <c r="P69" s="475"/>
      <c r="Q69" s="473"/>
      <c r="R69" s="528">
        <f>VLOOKUP($O62,'D_Ch-5-1'!$B$5:$P$54,MATCH("dont Etab actifs sphère productive public N-1",'D_Ch-5-1'!$B$5:$P$5,0),FALSE)/VLOOKUP($O$62,'D_Ch-5-1'!$B$5:$P$54,MATCH("Total etab actifs N-1",'D_Ch-5-1'!$B$5:$P$5,0),FALSE)</f>
        <v>3.3750377471326984E-4</v>
      </c>
      <c r="S69" s="475"/>
      <c r="T69" s="403"/>
    </row>
    <row r="70" spans="1:20">
      <c r="A70" s="403"/>
      <c r="B70" s="403"/>
      <c r="C70" s="403"/>
      <c r="D70" s="403"/>
      <c r="E70" s="403"/>
      <c r="F70" s="403"/>
      <c r="G70" s="403"/>
      <c r="H70" s="403"/>
      <c r="I70" s="403"/>
      <c r="J70" s="403"/>
      <c r="K70" s="403"/>
      <c r="L70" s="403"/>
      <c r="M70" s="403"/>
      <c r="N70" s="403"/>
      <c r="O70" s="403"/>
      <c r="P70" s="403"/>
      <c r="Q70" s="403"/>
      <c r="R70" s="403"/>
      <c r="S70" s="403"/>
      <c r="T70" s="403"/>
    </row>
    <row r="71" spans="1:20">
      <c r="A71" s="310"/>
      <c r="B71" s="310"/>
      <c r="C71" s="310"/>
      <c r="D71" s="310"/>
      <c r="E71" s="310"/>
      <c r="F71" s="310"/>
      <c r="G71" s="310"/>
      <c r="H71" s="310"/>
      <c r="I71" s="310"/>
      <c r="J71" s="310"/>
      <c r="K71" s="310"/>
      <c r="L71" s="310"/>
      <c r="M71" s="310"/>
      <c r="N71" s="310"/>
      <c r="O71" s="310"/>
      <c r="P71" s="403"/>
      <c r="Q71" s="403"/>
      <c r="R71" s="403"/>
      <c r="S71" s="403"/>
      <c r="T71" s="403"/>
    </row>
    <row r="72" spans="1:20">
      <c r="A72" s="310"/>
      <c r="B72" s="310"/>
      <c r="C72" s="310"/>
      <c r="D72" s="310"/>
      <c r="E72" s="310"/>
      <c r="F72" s="310"/>
      <c r="G72" s="310"/>
      <c r="H72" s="310"/>
      <c r="I72" s="310"/>
      <c r="J72" s="310"/>
      <c r="K72" s="310"/>
      <c r="L72" s="310"/>
      <c r="M72" s="310"/>
      <c r="N72" s="310"/>
      <c r="O72" s="310"/>
      <c r="P72" s="403"/>
      <c r="Q72" s="403"/>
      <c r="R72" s="403"/>
      <c r="S72" s="403"/>
      <c r="T72" s="403"/>
    </row>
    <row r="73" spans="1:20">
      <c r="A73" s="529"/>
      <c r="B73" s="529" t="s">
        <v>1102</v>
      </c>
      <c r="C73" s="529" t="s">
        <v>1103</v>
      </c>
      <c r="D73" s="529" t="s">
        <v>1102</v>
      </c>
      <c r="E73" s="529" t="s">
        <v>1103</v>
      </c>
      <c r="F73" s="529"/>
      <c r="G73" s="529"/>
      <c r="H73" s="529"/>
      <c r="I73" s="529"/>
      <c r="J73" s="529"/>
      <c r="K73" s="529" t="s">
        <v>980</v>
      </c>
      <c r="L73" s="529" t="s">
        <v>981</v>
      </c>
      <c r="M73" s="529" t="s">
        <v>980</v>
      </c>
      <c r="N73" s="529" t="s">
        <v>999</v>
      </c>
      <c r="O73" s="529"/>
      <c r="P73" s="530"/>
      <c r="Q73" s="530"/>
      <c r="R73" s="403"/>
      <c r="S73" s="403"/>
      <c r="T73" s="403"/>
    </row>
    <row r="74" spans="1:20">
      <c r="A74" s="529" t="str">
        <f>H62</f>
        <v>Bordeaux Métropole</v>
      </c>
      <c r="B74" s="531">
        <f>VLOOKUP($H$62,'D_Ch-5-1'!$B$5:$P$54,MATCH("dont postes actifs sphère présentielle privé  N-1",'D_Ch-5-1'!$B$5:$P$5,0),FALSE)</f>
        <v>157484</v>
      </c>
      <c r="C74" s="531">
        <f>VLOOKUP($H$62,'D_Ch-5-1'!$B$5:$P$54,MATCH("dont Effectifs sphère présentielle public N-1",'D_Ch-5-1'!$B$5:$P$5,0),FALSE)</f>
        <v>92822</v>
      </c>
      <c r="D74" s="531">
        <f>VLOOKUP($H$62,'D_Ch-5-1'!$B$5:$P$54,MATCH("dont postes actifs sphère productive privé N-1",'D_Ch-5-1'!$B$5:$P$5,0),FALSE)</f>
        <v>107041</v>
      </c>
      <c r="E74" s="532">
        <f>VLOOKUP($H$62,'D_Ch-5-1'!$B$5:$P$54,MATCH("dont Effectifs sphère productive public N-1",'D_Ch-5-1'!$B$5:$P$5,0),FALSE)</f>
        <v>2665</v>
      </c>
      <c r="F74" s="533"/>
      <c r="G74" s="533"/>
      <c r="H74" s="533"/>
      <c r="I74" s="533"/>
      <c r="J74" s="529" t="str">
        <f>H62</f>
        <v>Bordeaux Métropole</v>
      </c>
      <c r="K74" s="531">
        <f>VLOOKUP($H$62,'D_Ch-5-1'!$B$5:$P$54,MATCH("dont Etab actifs sphère présentielle privé  N-1",'D_Ch-5-1'!$B$5:$P$5,0),FALSE)</f>
        <v>50746</v>
      </c>
      <c r="L74" s="532">
        <f>VLOOKUP($H$62,'D_Ch-5-1'!$B$5:$P$54,MATCH("dont Etab actifs sphère présentielle public  N-1",'D_Ch-5-1'!$B$5:$P$5,0),FALSE)</f>
        <v>1367</v>
      </c>
      <c r="M74" s="531">
        <f>VLOOKUP($H$62,'D_Ch-5-1'!$B$5:$P$54,MATCH("dont Etab actifs sphère productive privé N-1",'D_Ch-5-1'!$B$5:$P$5,0),FALSE)</f>
        <v>33392</v>
      </c>
      <c r="N74" s="532">
        <f>VLOOKUP($H$62,'D_Ch-5-1'!$B$5:$P$54,MATCH("dont Etab actifs sphère productive public N-1",'D_Ch-5-1'!$B$5:$P$5,0),FALSE)</f>
        <v>36</v>
      </c>
      <c r="O74" s="529"/>
      <c r="P74" s="530"/>
      <c r="Q74" s="530"/>
      <c r="R74" s="403"/>
      <c r="S74" s="403"/>
      <c r="T74" s="403"/>
    </row>
    <row r="75" spans="1:20">
      <c r="A75" s="529" t="str">
        <f>O62</f>
        <v>Gironde</v>
      </c>
      <c r="B75" s="531">
        <f>VLOOKUP($O$62,'D_Ch-5-1'!$B$5:$P$54,MATCH("dont postes actifs sphère présentielle privé  N-1",'D_Ch-5-1'!$B$5:$P$5,0),FALSE)</f>
        <v>232576</v>
      </c>
      <c r="C75" s="531">
        <f>VLOOKUP($O$62,'D_Ch-5-1'!$B$5:$P$54,MATCH("dont Effectifs sphère présentielle public N-1",'D_Ch-5-1'!$B$5:$P$5,0),FALSE)</f>
        <v>131043</v>
      </c>
      <c r="D75" s="531">
        <f>VLOOKUP($O$62,'D_Ch-5-1'!$B$5:$P$54,MATCH("dont postes actifs sphère productive privé N-1",'D_Ch-5-1'!$B$5:$P$5,0),FALSE)</f>
        <v>179419</v>
      </c>
      <c r="E75" s="532">
        <f>VLOOKUP($O$62,'D_Ch-5-1'!$B$5:$P$54,MATCH("dont Effectifs sphère productive public N-1",'D_Ch-5-1'!$B$5:$P$5,0),FALSE)</f>
        <v>3129</v>
      </c>
      <c r="F75" s="533"/>
      <c r="G75" s="533"/>
      <c r="H75" s="533"/>
      <c r="I75" s="533"/>
      <c r="J75" s="529" t="str">
        <f>O62</f>
        <v>Gironde</v>
      </c>
      <c r="K75" s="531">
        <f>VLOOKUP($O$62,'D_Ch-5-1'!$B$5:$P$54,MATCH("dont Etab actifs sphère présentielle privé  N-1",'D_Ch-5-1'!$B$5:$P$5,0),FALSE)</f>
        <v>97759</v>
      </c>
      <c r="L75" s="532">
        <f>VLOOKUP($O$62,'D_Ch-5-1'!$B$5:$P$54,MATCH("dont Etab actifs sphère présentielle public  N-1",'D_Ch-5-1'!$B$5:$P$5,0),FALSE)</f>
        <v>3513</v>
      </c>
      <c r="M75" s="531">
        <f>VLOOKUP($O$62,'D_Ch-5-1'!$B$5:$P$54,MATCH("dont Etab actifs sphère productive privé N-1",'D_Ch-5-1'!$B$5:$P$5,0),FALSE)</f>
        <v>67558</v>
      </c>
      <c r="N75" s="532">
        <f>VLOOKUP($O62,'D_Ch-5-1'!$B$5:$P$54,MATCH("dont Etab actifs sphère productive public N-1",'D_Ch-5-1'!$B$5:$P$5,0),FALSE)</f>
        <v>57</v>
      </c>
      <c r="O75" s="529"/>
      <c r="P75" s="530"/>
      <c r="Q75" s="530"/>
      <c r="R75" s="403"/>
      <c r="S75" s="403"/>
      <c r="T75" s="403"/>
    </row>
    <row r="76" spans="1:20">
      <c r="A76" s="529"/>
      <c r="B76" s="529"/>
      <c r="C76" s="529"/>
      <c r="D76" s="529"/>
      <c r="E76" s="529"/>
      <c r="F76" s="529"/>
      <c r="G76" s="529"/>
      <c r="H76" s="529"/>
      <c r="I76" s="529"/>
      <c r="J76" s="529"/>
      <c r="K76" s="529"/>
      <c r="L76" s="529"/>
      <c r="M76" s="529"/>
      <c r="N76" s="529"/>
      <c r="O76" s="529"/>
      <c r="P76" s="530"/>
      <c r="Q76" s="530"/>
      <c r="R76" s="403"/>
      <c r="S76" s="403"/>
      <c r="T76" s="403"/>
    </row>
    <row r="77" spans="1:20">
      <c r="A77" s="403"/>
      <c r="B77" s="403"/>
      <c r="C77" s="403"/>
      <c r="D77" s="403"/>
      <c r="E77" s="403"/>
      <c r="F77" s="403"/>
      <c r="G77" s="403"/>
      <c r="H77" s="403"/>
      <c r="I77" s="403"/>
      <c r="J77" s="403"/>
      <c r="K77" s="403"/>
      <c r="L77" s="403"/>
      <c r="M77" s="403"/>
      <c r="N77" s="403"/>
      <c r="O77" s="403"/>
      <c r="P77" s="403"/>
      <c r="Q77" s="403"/>
      <c r="R77" s="403"/>
      <c r="S77" s="403"/>
      <c r="T77" s="403"/>
    </row>
    <row r="78" spans="1:20">
      <c r="A78" s="403"/>
      <c r="B78" s="403"/>
      <c r="C78" s="403"/>
      <c r="D78" s="403"/>
      <c r="E78" s="403"/>
      <c r="F78" s="403"/>
      <c r="G78" s="403"/>
      <c r="H78" s="403"/>
      <c r="I78" s="403"/>
      <c r="J78" s="403"/>
      <c r="K78" s="403"/>
      <c r="L78" s="403"/>
      <c r="M78" s="403"/>
      <c r="N78" s="403"/>
      <c r="O78" s="403"/>
      <c r="P78" s="403"/>
      <c r="Q78" s="403"/>
      <c r="R78" s="403"/>
      <c r="S78" s="403"/>
      <c r="T78" s="403"/>
    </row>
    <row r="79" spans="1:20">
      <c r="A79" s="403"/>
      <c r="B79" s="403"/>
      <c r="C79" s="403"/>
      <c r="D79" s="403"/>
      <c r="E79" s="403"/>
      <c r="F79" s="403"/>
      <c r="G79" s="403"/>
      <c r="H79" s="403"/>
      <c r="I79" s="403"/>
      <c r="J79" s="403"/>
      <c r="K79" s="403"/>
      <c r="L79" s="403"/>
      <c r="M79" s="403"/>
      <c r="N79" s="403"/>
      <c r="O79" s="403"/>
      <c r="P79" s="403"/>
      <c r="Q79" s="403"/>
      <c r="R79" s="403"/>
      <c r="S79" s="403"/>
      <c r="T79" s="403"/>
    </row>
    <row r="80" spans="1:20">
      <c r="A80" s="403"/>
      <c r="B80" s="403"/>
      <c r="C80" s="403"/>
      <c r="D80" s="403"/>
      <c r="E80" s="403"/>
      <c r="F80" s="403"/>
      <c r="G80" s="403"/>
      <c r="H80" s="403"/>
      <c r="I80" s="403"/>
      <c r="J80" s="403"/>
      <c r="K80" s="403"/>
      <c r="L80" s="403"/>
      <c r="M80" s="403"/>
      <c r="N80" s="403"/>
      <c r="O80" s="403"/>
      <c r="P80" s="403"/>
      <c r="Q80" s="403"/>
      <c r="R80" s="403"/>
      <c r="S80" s="403"/>
      <c r="T80" s="403"/>
    </row>
    <row r="81" spans="1:20">
      <c r="A81" s="403"/>
      <c r="B81" s="403"/>
      <c r="C81" s="403"/>
      <c r="D81" s="403"/>
      <c r="E81" s="403"/>
      <c r="F81" s="403"/>
      <c r="G81" s="403"/>
      <c r="H81" s="403"/>
      <c r="I81" s="403"/>
      <c r="J81" s="403"/>
      <c r="K81" s="403"/>
      <c r="L81" s="403"/>
      <c r="M81" s="403"/>
      <c r="N81" s="403"/>
      <c r="O81" s="403"/>
      <c r="P81" s="403"/>
      <c r="Q81" s="403"/>
      <c r="R81" s="403"/>
      <c r="S81" s="403"/>
      <c r="T81" s="403"/>
    </row>
    <row r="82" spans="1:20">
      <c r="A82" s="403"/>
      <c r="B82" s="403"/>
      <c r="C82" s="403"/>
      <c r="D82" s="403"/>
      <c r="E82" s="403"/>
      <c r="F82" s="403"/>
      <c r="G82" s="403"/>
      <c r="H82" s="403"/>
      <c r="I82" s="403"/>
      <c r="J82" s="403"/>
      <c r="K82" s="403"/>
      <c r="L82" s="403"/>
      <c r="M82" s="403"/>
      <c r="N82" s="403"/>
      <c r="O82" s="403"/>
      <c r="P82" s="403"/>
      <c r="Q82" s="403"/>
      <c r="R82" s="403"/>
      <c r="S82" s="403"/>
      <c r="T82" s="403"/>
    </row>
    <row r="83" spans="1:20">
      <c r="A83" s="403"/>
      <c r="B83" s="403"/>
      <c r="C83" s="403"/>
      <c r="D83" s="403"/>
      <c r="E83" s="403"/>
      <c r="F83" s="403"/>
      <c r="G83" s="403"/>
      <c r="H83" s="403"/>
      <c r="I83" s="403"/>
      <c r="J83" s="403"/>
      <c r="K83" s="403"/>
      <c r="L83" s="403"/>
      <c r="M83" s="403"/>
      <c r="N83" s="403"/>
      <c r="O83" s="403"/>
      <c r="P83" s="403"/>
      <c r="Q83" s="403"/>
      <c r="R83" s="403"/>
      <c r="S83" s="403"/>
      <c r="T83" s="403"/>
    </row>
    <row r="84" spans="1:20">
      <c r="A84" s="403"/>
      <c r="B84" s="403"/>
      <c r="C84" s="403"/>
      <c r="D84" s="403"/>
      <c r="E84" s="403"/>
      <c r="F84" s="403"/>
      <c r="G84" s="403"/>
      <c r="H84" s="403"/>
      <c r="I84" s="403"/>
      <c r="J84" s="403"/>
      <c r="K84" s="403"/>
      <c r="L84" s="403"/>
      <c r="M84" s="403"/>
      <c r="N84" s="403"/>
      <c r="O84" s="403"/>
      <c r="P84" s="403"/>
      <c r="Q84" s="403"/>
      <c r="R84" s="403"/>
      <c r="S84" s="403"/>
      <c r="T84" s="403"/>
    </row>
    <row r="85" spans="1:20">
      <c r="A85" s="403"/>
      <c r="B85" s="403"/>
      <c r="C85" s="403"/>
      <c r="D85" s="403"/>
      <c r="E85" s="403"/>
      <c r="F85" s="403"/>
      <c r="G85" s="403"/>
      <c r="H85" s="403"/>
      <c r="I85" s="403"/>
      <c r="J85" s="403"/>
      <c r="K85" s="403"/>
      <c r="L85" s="403"/>
      <c r="M85" s="403"/>
      <c r="N85" s="403"/>
      <c r="O85" s="403"/>
      <c r="P85" s="403"/>
      <c r="Q85" s="403"/>
      <c r="R85" s="403"/>
      <c r="S85" s="403"/>
      <c r="T85" s="403"/>
    </row>
    <row r="86" spans="1:20">
      <c r="A86" s="403"/>
      <c r="B86" s="403"/>
      <c r="C86" s="403"/>
      <c r="D86" s="403"/>
      <c r="E86" s="403"/>
      <c r="F86" s="403"/>
      <c r="G86" s="403"/>
      <c r="H86" s="403"/>
      <c r="I86" s="403"/>
      <c r="J86" s="403"/>
      <c r="K86" s="403"/>
      <c r="L86" s="403"/>
      <c r="M86" s="403"/>
      <c r="N86" s="403"/>
      <c r="O86" s="403"/>
      <c r="P86" s="403"/>
      <c r="Q86" s="403"/>
      <c r="R86" s="403"/>
      <c r="S86" s="403"/>
      <c r="T86" s="403"/>
    </row>
    <row r="87" spans="1:20">
      <c r="A87" s="403"/>
      <c r="B87" s="403"/>
      <c r="C87" s="403"/>
      <c r="D87" s="403"/>
      <c r="E87" s="403"/>
      <c r="F87" s="403"/>
      <c r="G87" s="403"/>
      <c r="H87" s="403"/>
      <c r="I87" s="403"/>
      <c r="J87" s="403"/>
      <c r="K87" s="403"/>
      <c r="L87" s="403"/>
      <c r="M87" s="403"/>
      <c r="N87" s="403"/>
      <c r="O87" s="403"/>
      <c r="P87" s="403"/>
      <c r="Q87" s="403"/>
      <c r="R87" s="403"/>
      <c r="S87" s="403"/>
      <c r="T87" s="403"/>
    </row>
    <row r="88" spans="1:20">
      <c r="A88" s="403"/>
      <c r="B88" s="403"/>
      <c r="C88" s="403"/>
      <c r="D88" s="403"/>
      <c r="E88" s="403"/>
      <c r="F88" s="403"/>
      <c r="G88" s="403"/>
      <c r="H88" s="403"/>
      <c r="I88" s="403"/>
      <c r="J88" s="403"/>
      <c r="K88" s="403"/>
      <c r="L88" s="403"/>
      <c r="M88" s="403"/>
      <c r="N88" s="403"/>
      <c r="O88" s="403"/>
      <c r="P88" s="403"/>
      <c r="Q88" s="403"/>
      <c r="R88" s="403"/>
      <c r="S88" s="403"/>
      <c r="T88" s="403"/>
    </row>
    <row r="89" spans="1:20">
      <c r="A89" s="403"/>
      <c r="B89" s="403"/>
      <c r="C89" s="403"/>
      <c r="D89" s="403"/>
      <c r="E89" s="403"/>
      <c r="F89" s="403"/>
      <c r="G89" s="403"/>
      <c r="H89" s="403"/>
      <c r="I89" s="403"/>
      <c r="J89" s="403"/>
      <c r="K89" s="403"/>
      <c r="L89" s="403"/>
      <c r="M89" s="403"/>
      <c r="N89" s="403"/>
      <c r="O89" s="403"/>
      <c r="P89" s="403"/>
      <c r="Q89" s="403"/>
      <c r="R89" s="403"/>
      <c r="S89" s="403"/>
      <c r="T89" s="403"/>
    </row>
    <row r="90" spans="1:20">
      <c r="A90" s="403"/>
      <c r="B90" s="403"/>
      <c r="C90" s="403"/>
      <c r="D90" s="403"/>
      <c r="E90" s="403"/>
      <c r="F90" s="403"/>
      <c r="G90" s="403"/>
      <c r="H90" s="403"/>
      <c r="I90" s="403"/>
      <c r="J90" s="403"/>
      <c r="K90" s="403"/>
      <c r="L90" s="403"/>
      <c r="M90" s="403"/>
      <c r="N90" s="403"/>
      <c r="O90" s="403"/>
      <c r="P90" s="403"/>
      <c r="Q90" s="403"/>
      <c r="R90" s="403"/>
      <c r="S90" s="403"/>
      <c r="T90" s="403"/>
    </row>
    <row r="91" spans="1:20">
      <c r="A91" s="403"/>
      <c r="B91" s="403"/>
      <c r="C91" s="403"/>
      <c r="D91" s="403"/>
      <c r="E91" s="403"/>
      <c r="F91" s="403"/>
      <c r="G91" s="403"/>
      <c r="H91" s="403"/>
      <c r="I91" s="403"/>
      <c r="J91" s="403"/>
      <c r="K91" s="403"/>
      <c r="L91" s="403"/>
      <c r="M91" s="403"/>
      <c r="N91" s="403"/>
      <c r="O91" s="403"/>
      <c r="P91" s="403"/>
      <c r="Q91" s="403"/>
      <c r="R91" s="403"/>
      <c r="S91" s="403"/>
      <c r="T91" s="403"/>
    </row>
    <row r="92" spans="1:20">
      <c r="A92" s="403"/>
      <c r="B92" s="403"/>
      <c r="C92" s="403"/>
      <c r="D92" s="403"/>
      <c r="E92" s="403"/>
      <c r="F92" s="403"/>
      <c r="G92" s="403"/>
      <c r="H92" s="403"/>
      <c r="I92" s="403"/>
      <c r="J92" s="403"/>
      <c r="K92" s="403"/>
      <c r="L92" s="403"/>
      <c r="M92" s="403"/>
      <c r="N92" s="403"/>
      <c r="O92" s="403"/>
      <c r="P92" s="403"/>
      <c r="Q92" s="403"/>
      <c r="R92" s="403"/>
      <c r="S92" s="403"/>
      <c r="T92" s="403"/>
    </row>
    <row r="93" spans="1:20">
      <c r="A93" s="403"/>
      <c r="B93" s="403"/>
      <c r="C93" s="403"/>
      <c r="D93" s="403"/>
      <c r="E93" s="403"/>
      <c r="F93" s="403"/>
      <c r="G93" s="403"/>
      <c r="H93" s="403"/>
      <c r="I93" s="403"/>
      <c r="J93" s="403"/>
      <c r="K93" s="403"/>
      <c r="L93" s="403"/>
      <c r="M93" s="403"/>
      <c r="N93" s="403"/>
      <c r="O93" s="403"/>
      <c r="P93" s="403"/>
      <c r="Q93" s="403"/>
      <c r="R93" s="403"/>
      <c r="S93" s="403"/>
      <c r="T93" s="403"/>
    </row>
    <row r="94" spans="1:20">
      <c r="A94" s="403"/>
      <c r="B94" s="403"/>
      <c r="C94" s="403"/>
      <c r="D94" s="403"/>
      <c r="E94" s="403"/>
      <c r="F94" s="403"/>
      <c r="G94" s="403"/>
      <c r="H94" s="403"/>
      <c r="I94" s="403"/>
      <c r="J94" s="403"/>
      <c r="K94" s="403"/>
      <c r="L94" s="403"/>
      <c r="M94" s="403"/>
      <c r="N94" s="403"/>
      <c r="O94" s="403"/>
      <c r="P94" s="403"/>
      <c r="Q94" s="403"/>
      <c r="R94" s="403"/>
      <c r="S94" s="403"/>
      <c r="T94" s="403"/>
    </row>
    <row r="95" spans="1:20">
      <c r="A95" s="403"/>
      <c r="B95" s="403"/>
      <c r="C95" s="403"/>
      <c r="D95" s="403"/>
      <c r="E95" s="403"/>
      <c r="F95" s="403"/>
      <c r="G95" s="403"/>
      <c r="H95" s="403"/>
      <c r="I95" s="403"/>
      <c r="J95" s="403"/>
      <c r="K95" s="403"/>
      <c r="L95" s="403"/>
      <c r="M95" s="403"/>
      <c r="N95" s="403"/>
      <c r="O95" s="403"/>
      <c r="P95" s="403"/>
      <c r="Q95" s="403"/>
      <c r="R95" s="403"/>
      <c r="S95" s="403"/>
      <c r="T95" s="403"/>
    </row>
    <row r="96" spans="1:20">
      <c r="A96" s="403"/>
      <c r="B96" s="403"/>
      <c r="C96" s="403"/>
      <c r="D96" s="403"/>
      <c r="E96" s="403"/>
      <c r="F96" s="403"/>
      <c r="G96" s="403"/>
      <c r="H96" s="403"/>
      <c r="I96" s="403"/>
      <c r="J96" s="403"/>
      <c r="K96" s="403"/>
      <c r="L96" s="403"/>
      <c r="M96" s="403"/>
      <c r="N96" s="403"/>
      <c r="O96" s="403"/>
      <c r="P96" s="403"/>
      <c r="Q96" s="403"/>
      <c r="R96" s="403"/>
      <c r="S96" s="403"/>
      <c r="T96" s="403"/>
    </row>
    <row r="97" spans="1:20">
      <c r="A97" s="403"/>
      <c r="B97" s="403"/>
      <c r="C97" s="403"/>
      <c r="D97" s="403"/>
      <c r="E97" s="403"/>
      <c r="F97" s="403"/>
      <c r="G97" s="403"/>
      <c r="H97" s="403"/>
      <c r="I97" s="403"/>
      <c r="J97" s="403"/>
      <c r="K97" s="403"/>
      <c r="L97" s="403"/>
      <c r="M97" s="403"/>
      <c r="N97" s="403"/>
      <c r="O97" s="403"/>
      <c r="P97" s="403"/>
      <c r="Q97" s="403"/>
      <c r="R97" s="403"/>
      <c r="S97" s="403"/>
      <c r="T97" s="403"/>
    </row>
    <row r="98" spans="1:20">
      <c r="A98" s="403"/>
      <c r="B98" s="403"/>
      <c r="C98" s="403"/>
      <c r="D98" s="403"/>
      <c r="E98" s="403"/>
      <c r="F98" s="403"/>
      <c r="G98" s="403"/>
      <c r="H98" s="403"/>
      <c r="I98" s="403"/>
      <c r="J98" s="403"/>
      <c r="K98" s="403"/>
      <c r="L98" s="403"/>
      <c r="M98" s="403"/>
      <c r="N98" s="403"/>
      <c r="O98" s="403"/>
      <c r="P98" s="403"/>
      <c r="Q98" s="403"/>
      <c r="R98" s="403"/>
      <c r="S98" s="403"/>
      <c r="T98" s="403"/>
    </row>
    <row r="99" spans="1:20">
      <c r="A99" s="403"/>
      <c r="B99" s="403"/>
      <c r="C99" s="403"/>
      <c r="D99" s="403"/>
      <c r="E99" s="403"/>
      <c r="F99" s="403"/>
      <c r="G99" s="403"/>
      <c r="H99" s="403"/>
      <c r="I99" s="403"/>
      <c r="J99" s="403"/>
      <c r="K99" s="403"/>
      <c r="L99" s="403"/>
      <c r="M99" s="403"/>
      <c r="N99" s="403"/>
      <c r="O99" s="403"/>
      <c r="P99" s="403"/>
      <c r="Q99" s="403"/>
      <c r="R99" s="403"/>
      <c r="S99" s="403"/>
      <c r="T99" s="403"/>
    </row>
    <row r="100" spans="1:20">
      <c r="A100" s="403"/>
      <c r="B100" s="403"/>
      <c r="C100" s="403"/>
      <c r="D100" s="403"/>
      <c r="E100" s="403"/>
      <c r="F100" s="403"/>
      <c r="G100" s="403"/>
      <c r="H100" s="403"/>
      <c r="I100" s="403"/>
      <c r="J100" s="403"/>
      <c r="K100" s="403"/>
      <c r="L100" s="403"/>
      <c r="M100" s="403"/>
      <c r="N100" s="403"/>
      <c r="O100" s="403"/>
      <c r="P100" s="403"/>
      <c r="Q100" s="403"/>
      <c r="R100" s="403"/>
      <c r="S100" s="403"/>
      <c r="T100" s="403"/>
    </row>
    <row r="101" spans="1:20">
      <c r="A101" s="403"/>
      <c r="B101" s="403"/>
      <c r="C101" s="403"/>
      <c r="D101" s="403"/>
      <c r="E101" s="403"/>
      <c r="F101" s="403"/>
      <c r="G101" s="403"/>
      <c r="H101" s="403"/>
      <c r="I101" s="403"/>
      <c r="J101" s="403"/>
      <c r="K101" s="403"/>
      <c r="L101" s="403"/>
      <c r="M101" s="403"/>
      <c r="N101" s="403"/>
      <c r="O101" s="403"/>
      <c r="P101" s="403"/>
      <c r="Q101" s="403"/>
      <c r="R101" s="403"/>
      <c r="S101" s="403"/>
      <c r="T101" s="403"/>
    </row>
    <row r="102" spans="1:20">
      <c r="A102" s="403"/>
      <c r="B102" s="403"/>
      <c r="C102" s="403"/>
      <c r="D102" s="403"/>
      <c r="E102" s="403"/>
      <c r="F102" s="403"/>
      <c r="G102" s="403"/>
      <c r="H102" s="403"/>
      <c r="I102" s="403"/>
      <c r="J102" s="403"/>
      <c r="K102" s="403"/>
      <c r="L102" s="403"/>
      <c r="M102" s="403"/>
      <c r="N102" s="403"/>
      <c r="O102" s="403"/>
      <c r="P102" s="403"/>
      <c r="Q102" s="403"/>
      <c r="R102" s="403"/>
      <c r="S102" s="403"/>
      <c r="T102" s="403"/>
    </row>
    <row r="103" spans="1:20">
      <c r="A103" s="403"/>
      <c r="B103" s="403"/>
      <c r="C103" s="403"/>
      <c r="D103" s="403"/>
      <c r="E103" s="403"/>
      <c r="F103" s="403"/>
      <c r="G103" s="403"/>
      <c r="H103" s="403"/>
      <c r="I103" s="403"/>
      <c r="J103" s="403"/>
      <c r="K103" s="403"/>
      <c r="L103" s="403"/>
      <c r="M103" s="403"/>
      <c r="N103" s="403"/>
      <c r="O103" s="403"/>
      <c r="P103" s="403"/>
      <c r="Q103" s="403"/>
      <c r="R103" s="403"/>
      <c r="S103" s="403"/>
      <c r="T103" s="403"/>
    </row>
    <row r="104" spans="1:20">
      <c r="A104" s="403"/>
      <c r="B104" s="403"/>
      <c r="C104" s="403"/>
      <c r="D104" s="403"/>
      <c r="E104" s="403"/>
      <c r="F104" s="403"/>
      <c r="G104" s="403"/>
      <c r="H104" s="403"/>
      <c r="I104" s="403"/>
      <c r="J104" s="403"/>
      <c r="K104" s="403"/>
      <c r="L104" s="403"/>
      <c r="M104" s="403"/>
      <c r="N104" s="403"/>
      <c r="O104" s="403"/>
      <c r="P104" s="403"/>
      <c r="Q104" s="403"/>
      <c r="R104" s="403"/>
      <c r="S104" s="403"/>
      <c r="T104" s="403"/>
    </row>
    <row r="105" spans="1:20">
      <c r="A105" s="216"/>
      <c r="B105" s="216"/>
      <c r="C105" s="216"/>
      <c r="D105" s="216"/>
      <c r="E105" s="216"/>
      <c r="F105" s="216"/>
      <c r="G105" s="216"/>
      <c r="H105" s="216"/>
      <c r="I105" s="216"/>
      <c r="J105" s="216"/>
      <c r="K105" s="216"/>
      <c r="L105" s="216"/>
      <c r="M105" s="216"/>
      <c r="N105" s="216"/>
      <c r="O105" s="216"/>
      <c r="P105" s="216"/>
      <c r="Q105" s="216"/>
      <c r="R105" s="216"/>
      <c r="S105" s="216"/>
      <c r="T105" s="216"/>
    </row>
    <row r="106" spans="1:20" hidden="1">
      <c r="A106" s="216"/>
      <c r="B106" s="216"/>
      <c r="C106" s="216"/>
      <c r="D106" s="216"/>
      <c r="E106" s="216"/>
      <c r="F106" s="216"/>
      <c r="G106" s="216"/>
      <c r="H106" s="216"/>
      <c r="I106" s="216"/>
      <c r="J106" s="216"/>
      <c r="K106" s="216"/>
      <c r="L106" s="216"/>
      <c r="M106" s="216"/>
      <c r="N106" s="216"/>
      <c r="O106" s="216"/>
      <c r="P106" s="216"/>
      <c r="Q106" s="216"/>
      <c r="R106" s="216"/>
      <c r="S106" s="216"/>
      <c r="T106" s="216"/>
    </row>
    <row r="107" spans="1:20" hidden="1">
      <c r="A107" s="216"/>
      <c r="B107" s="216"/>
      <c r="C107" s="216"/>
      <c r="D107" s="216"/>
      <c r="E107" s="216"/>
      <c r="F107" s="216"/>
      <c r="G107" s="216"/>
      <c r="H107" s="216"/>
      <c r="I107" s="216"/>
      <c r="J107" s="216"/>
      <c r="K107" s="216"/>
      <c r="L107" s="216"/>
      <c r="M107" s="216"/>
      <c r="N107" s="216"/>
      <c r="O107" s="216"/>
      <c r="P107" s="216"/>
      <c r="Q107" s="216"/>
      <c r="R107" s="216"/>
      <c r="S107" s="216"/>
      <c r="T107" s="216"/>
    </row>
    <row r="108" spans="1:20" hidden="1">
      <c r="A108" s="216"/>
      <c r="B108" s="216"/>
      <c r="C108" s="216"/>
      <c r="D108" s="216"/>
      <c r="E108" s="216"/>
      <c r="F108" s="216"/>
      <c r="G108" s="216"/>
      <c r="H108" s="216"/>
      <c r="I108" s="216"/>
      <c r="J108" s="216"/>
      <c r="K108" s="216"/>
      <c r="L108" s="216"/>
      <c r="M108" s="216"/>
      <c r="N108" s="216"/>
      <c r="O108" s="216"/>
      <c r="P108" s="216"/>
      <c r="Q108" s="216"/>
      <c r="R108" s="216"/>
      <c r="S108" s="216"/>
      <c r="T108" s="216"/>
    </row>
    <row r="109" spans="1:20" hidden="1">
      <c r="A109" s="216"/>
      <c r="B109" s="216"/>
      <c r="C109" s="216"/>
      <c r="D109" s="216"/>
      <c r="E109" s="216"/>
      <c r="F109" s="216"/>
      <c r="G109" s="216"/>
      <c r="H109" s="216"/>
      <c r="I109" s="216"/>
      <c r="J109" s="216"/>
      <c r="K109" s="216"/>
      <c r="L109" s="216"/>
      <c r="M109" s="216"/>
      <c r="N109" s="216"/>
      <c r="O109" s="216"/>
      <c r="P109" s="216"/>
      <c r="Q109" s="216"/>
      <c r="R109" s="216"/>
      <c r="S109" s="216"/>
      <c r="T109" s="216"/>
    </row>
    <row r="110" spans="1:20" hidden="1">
      <c r="A110" s="216"/>
      <c r="B110" s="216"/>
      <c r="C110" s="216"/>
      <c r="D110" s="216"/>
      <c r="E110" s="216"/>
      <c r="F110" s="216"/>
      <c r="G110" s="216"/>
      <c r="H110" s="216"/>
      <c r="I110" s="216"/>
      <c r="J110" s="216"/>
      <c r="K110" s="216"/>
      <c r="L110" s="216"/>
      <c r="M110" s="216"/>
      <c r="N110" s="216"/>
      <c r="O110" s="216"/>
      <c r="P110" s="216"/>
      <c r="Q110" s="216"/>
      <c r="R110" s="216"/>
      <c r="S110" s="216"/>
      <c r="T110" s="216"/>
    </row>
    <row r="111" spans="1:20" hidden="1">
      <c r="A111" s="216"/>
      <c r="B111" s="216"/>
      <c r="C111" s="216"/>
      <c r="D111" s="216"/>
      <c r="E111" s="216"/>
      <c r="F111" s="216"/>
      <c r="G111" s="216"/>
      <c r="H111" s="216"/>
      <c r="I111" s="216"/>
      <c r="J111" s="216"/>
      <c r="K111" s="216"/>
      <c r="L111" s="216"/>
      <c r="M111" s="216"/>
      <c r="N111" s="216"/>
      <c r="O111" s="216"/>
      <c r="P111" s="216"/>
      <c r="Q111" s="216"/>
      <c r="R111" s="216"/>
      <c r="S111" s="216"/>
      <c r="T111" s="216"/>
    </row>
    <row r="112" spans="1:20" hidden="1">
      <c r="A112" s="216"/>
      <c r="B112" s="216"/>
      <c r="C112" s="216"/>
      <c r="D112" s="216"/>
      <c r="E112" s="216"/>
      <c r="F112" s="216"/>
      <c r="G112" s="216"/>
      <c r="H112" s="216"/>
      <c r="I112" s="216"/>
      <c r="J112" s="216"/>
      <c r="K112" s="216"/>
      <c r="L112" s="216"/>
      <c r="M112" s="216"/>
      <c r="N112" s="216"/>
      <c r="O112" s="216"/>
      <c r="P112" s="216"/>
      <c r="Q112" s="216"/>
      <c r="R112" s="216"/>
      <c r="S112" s="216"/>
      <c r="T112" s="216"/>
    </row>
    <row r="113" spans="1:20" hidden="1">
      <c r="A113" s="216"/>
      <c r="B113" s="216"/>
      <c r="C113" s="216"/>
      <c r="D113" s="216"/>
      <c r="E113" s="216"/>
      <c r="F113" s="216"/>
      <c r="G113" s="216"/>
      <c r="H113" s="216"/>
      <c r="I113" s="216"/>
      <c r="J113" s="216"/>
      <c r="K113" s="216"/>
      <c r="L113" s="216"/>
      <c r="M113" s="216"/>
      <c r="N113" s="216"/>
      <c r="O113" s="216"/>
      <c r="P113" s="216"/>
      <c r="Q113" s="216"/>
      <c r="R113" s="216"/>
      <c r="S113" s="216"/>
      <c r="T113" s="216"/>
    </row>
    <row r="114" spans="1:20" hidden="1">
      <c r="A114" s="216"/>
      <c r="B114" s="216"/>
      <c r="C114" s="216"/>
      <c r="D114" s="216"/>
      <c r="E114" s="216"/>
      <c r="F114" s="216"/>
      <c r="G114" s="216"/>
      <c r="H114" s="216"/>
      <c r="I114" s="216"/>
      <c r="J114" s="216"/>
      <c r="K114" s="216"/>
      <c r="L114" s="216"/>
      <c r="M114" s="216"/>
      <c r="N114" s="216"/>
      <c r="O114" s="216"/>
      <c r="P114" s="216"/>
      <c r="Q114" s="216"/>
      <c r="R114" s="216"/>
      <c r="S114" s="216"/>
      <c r="T114" s="216"/>
    </row>
    <row r="115" spans="1:20" hidden="1">
      <c r="A115" s="216"/>
      <c r="B115" s="216"/>
      <c r="C115" s="216"/>
      <c r="D115" s="216"/>
      <c r="E115" s="216"/>
      <c r="F115" s="216"/>
      <c r="G115" s="216"/>
      <c r="H115" s="216"/>
      <c r="I115" s="216"/>
      <c r="J115" s="216"/>
      <c r="K115" s="216"/>
      <c r="L115" s="216"/>
      <c r="M115" s="216"/>
      <c r="N115" s="216"/>
      <c r="O115" s="216"/>
      <c r="P115" s="216"/>
      <c r="Q115" s="216"/>
      <c r="R115" s="216"/>
      <c r="S115" s="216"/>
      <c r="T115" s="216"/>
    </row>
    <row r="116" spans="1:20" hidden="1">
      <c r="A116" s="216"/>
      <c r="B116" s="216"/>
      <c r="C116" s="216"/>
      <c r="D116" s="216"/>
      <c r="E116" s="216"/>
      <c r="F116" s="216"/>
      <c r="G116" s="216"/>
      <c r="H116" s="216"/>
      <c r="I116" s="216"/>
      <c r="J116" s="216"/>
      <c r="K116" s="216"/>
      <c r="L116" s="216"/>
      <c r="M116" s="216"/>
      <c r="N116" s="216"/>
      <c r="O116" s="216"/>
      <c r="P116" s="216"/>
      <c r="Q116" s="216"/>
      <c r="R116" s="216"/>
      <c r="S116" s="216"/>
      <c r="T116" s="216"/>
    </row>
    <row r="117" spans="1:20" hidden="1">
      <c r="A117" s="216"/>
      <c r="B117" s="216"/>
      <c r="C117" s="216"/>
      <c r="D117" s="216"/>
      <c r="E117" s="216"/>
      <c r="F117" s="216"/>
      <c r="G117" s="216"/>
      <c r="H117" s="216"/>
      <c r="I117" s="216"/>
      <c r="J117" s="216"/>
      <c r="K117" s="216"/>
      <c r="L117" s="216"/>
      <c r="M117" s="216"/>
      <c r="N117" s="216"/>
      <c r="O117" s="216"/>
      <c r="P117" s="216"/>
      <c r="Q117" s="216"/>
      <c r="R117" s="216"/>
      <c r="S117" s="216"/>
      <c r="T117" s="216"/>
    </row>
    <row r="118" spans="1:20" hidden="1">
      <c r="A118" s="216"/>
      <c r="B118" s="216"/>
      <c r="C118" s="216"/>
      <c r="D118" s="216"/>
      <c r="E118" s="216"/>
      <c r="F118" s="216"/>
      <c r="G118" s="216"/>
      <c r="H118" s="216"/>
      <c r="I118" s="216"/>
      <c r="J118" s="216"/>
      <c r="K118" s="216"/>
      <c r="L118" s="216"/>
      <c r="M118" s="216"/>
      <c r="N118" s="216"/>
      <c r="O118" s="216"/>
      <c r="P118" s="216"/>
      <c r="Q118" s="216"/>
      <c r="R118" s="216"/>
      <c r="S118" s="216"/>
      <c r="T118" s="216"/>
    </row>
    <row r="119" spans="1:20" hidden="1">
      <c r="A119" s="216"/>
      <c r="B119" s="216"/>
      <c r="C119" s="216"/>
      <c r="D119" s="216"/>
      <c r="E119" s="216"/>
      <c r="F119" s="216"/>
      <c r="G119" s="216"/>
      <c r="H119" s="216"/>
      <c r="I119" s="216"/>
      <c r="J119" s="216"/>
      <c r="K119" s="216"/>
      <c r="L119" s="216"/>
      <c r="M119" s="216"/>
      <c r="N119" s="216"/>
      <c r="O119" s="216"/>
      <c r="P119" s="216"/>
      <c r="Q119" s="216"/>
      <c r="R119" s="216"/>
      <c r="S119" s="216"/>
      <c r="T119" s="216"/>
    </row>
    <row r="120" spans="1:20" hidden="1">
      <c r="A120" s="216"/>
      <c r="B120" s="216"/>
      <c r="C120" s="216"/>
      <c r="D120" s="216"/>
      <c r="E120" s="216"/>
      <c r="F120" s="216"/>
      <c r="G120" s="216"/>
      <c r="H120" s="216"/>
      <c r="I120" s="216"/>
      <c r="J120" s="216"/>
      <c r="K120" s="216"/>
      <c r="L120" s="216"/>
      <c r="M120" s="216"/>
      <c r="N120" s="216"/>
      <c r="O120" s="216"/>
      <c r="P120" s="216"/>
      <c r="Q120" s="216"/>
      <c r="R120" s="216"/>
      <c r="S120" s="216"/>
      <c r="T120" s="216"/>
    </row>
    <row r="121" spans="1:20" hidden="1">
      <c r="A121" s="216"/>
      <c r="B121" s="216"/>
      <c r="C121" s="216"/>
      <c r="D121" s="216"/>
      <c r="E121" s="216"/>
      <c r="F121" s="216"/>
      <c r="G121" s="216"/>
      <c r="H121" s="216"/>
      <c r="I121" s="216"/>
      <c r="J121" s="216"/>
      <c r="K121" s="216"/>
      <c r="L121" s="216"/>
      <c r="M121" s="216"/>
      <c r="N121" s="216"/>
      <c r="O121" s="216"/>
      <c r="P121" s="216"/>
      <c r="Q121" s="216"/>
      <c r="R121" s="216"/>
      <c r="S121" s="216"/>
      <c r="T121" s="216"/>
    </row>
    <row r="122" spans="1:20" hidden="1">
      <c r="A122" s="216"/>
      <c r="B122" s="216"/>
      <c r="C122" s="216"/>
      <c r="D122" s="216"/>
      <c r="E122" s="216"/>
      <c r="F122" s="216"/>
      <c r="G122" s="216"/>
      <c r="H122" s="216"/>
      <c r="I122" s="216"/>
      <c r="J122" s="216"/>
      <c r="K122" s="216"/>
      <c r="L122" s="216"/>
      <c r="M122" s="216"/>
      <c r="N122" s="216"/>
      <c r="O122" s="216"/>
      <c r="P122" s="216"/>
      <c r="Q122" s="216"/>
      <c r="R122" s="216"/>
      <c r="S122" s="216"/>
      <c r="T122" s="216"/>
    </row>
    <row r="123" spans="1:20" hidden="1">
      <c r="A123" s="216"/>
      <c r="B123" s="216"/>
      <c r="C123" s="216"/>
      <c r="D123" s="216"/>
      <c r="E123" s="216"/>
      <c r="F123" s="216"/>
      <c r="G123" s="216"/>
      <c r="H123" s="216"/>
      <c r="I123" s="216"/>
      <c r="J123" s="216"/>
      <c r="K123" s="216"/>
      <c r="L123" s="216"/>
      <c r="M123" s="216"/>
      <c r="N123" s="216"/>
      <c r="O123" s="216"/>
      <c r="P123" s="216"/>
      <c r="Q123" s="216"/>
      <c r="R123" s="216"/>
      <c r="S123" s="216"/>
      <c r="T123" s="216"/>
    </row>
    <row r="124" spans="1:20" hidden="1">
      <c r="A124" s="216"/>
      <c r="B124" s="216"/>
      <c r="C124" s="216"/>
      <c r="D124" s="216"/>
      <c r="E124" s="216"/>
      <c r="F124" s="216"/>
      <c r="G124" s="216"/>
      <c r="H124" s="216"/>
      <c r="I124" s="216"/>
      <c r="J124" s="216"/>
      <c r="K124" s="216"/>
      <c r="L124" s="216"/>
      <c r="M124" s="216"/>
      <c r="N124" s="216"/>
      <c r="O124" s="216"/>
      <c r="P124" s="216"/>
      <c r="Q124" s="216"/>
      <c r="R124" s="216"/>
      <c r="S124" s="216"/>
      <c r="T124" s="216"/>
    </row>
    <row r="125" spans="1:20" hidden="1">
      <c r="A125" s="216"/>
      <c r="B125" s="216"/>
      <c r="C125" s="216"/>
      <c r="D125" s="216"/>
      <c r="E125" s="216"/>
      <c r="F125" s="216"/>
      <c r="G125" s="216"/>
      <c r="H125" s="216"/>
      <c r="I125" s="216"/>
      <c r="J125" s="216"/>
      <c r="K125" s="216"/>
      <c r="L125" s="216"/>
      <c r="M125" s="216"/>
      <c r="N125" s="216"/>
      <c r="O125" s="216"/>
      <c r="P125" s="216"/>
      <c r="Q125" s="216"/>
      <c r="R125" s="216"/>
      <c r="S125" s="216"/>
      <c r="T125" s="216"/>
    </row>
    <row r="126" spans="1:20" hidden="1">
      <c r="A126" s="216"/>
      <c r="B126" s="216"/>
      <c r="C126" s="216"/>
      <c r="D126" s="216"/>
      <c r="E126" s="216"/>
      <c r="F126" s="216"/>
      <c r="G126" s="216"/>
      <c r="H126" s="216"/>
      <c r="I126" s="216"/>
      <c r="J126" s="216"/>
      <c r="K126" s="216"/>
      <c r="L126" s="216"/>
      <c r="M126" s="216"/>
      <c r="N126" s="216"/>
      <c r="O126" s="216"/>
      <c r="P126" s="216"/>
      <c r="Q126" s="216"/>
      <c r="R126" s="216"/>
      <c r="S126" s="216"/>
      <c r="T126" s="216"/>
    </row>
    <row r="127" spans="1:20" hidden="1">
      <c r="A127" s="216"/>
      <c r="B127" s="216"/>
      <c r="C127" s="216"/>
      <c r="D127" s="216"/>
      <c r="E127" s="216"/>
      <c r="F127" s="216"/>
      <c r="G127" s="216"/>
      <c r="H127" s="216"/>
      <c r="I127" s="216"/>
      <c r="J127" s="216"/>
      <c r="K127" s="216"/>
      <c r="L127" s="216"/>
      <c r="M127" s="216"/>
      <c r="N127" s="216"/>
      <c r="O127" s="216"/>
      <c r="P127" s="216"/>
      <c r="Q127" s="216"/>
      <c r="R127" s="216"/>
      <c r="S127" s="216"/>
      <c r="T127" s="216"/>
    </row>
    <row r="128" spans="1:20" hidden="1">
      <c r="A128" s="216"/>
      <c r="B128" s="216"/>
      <c r="C128" s="216"/>
      <c r="D128" s="216"/>
      <c r="E128" s="216"/>
      <c r="F128" s="216"/>
      <c r="G128" s="216"/>
      <c r="H128" s="216"/>
      <c r="I128" s="216"/>
      <c r="J128" s="216"/>
      <c r="K128" s="216"/>
      <c r="L128" s="216"/>
      <c r="M128" s="216"/>
      <c r="N128" s="216"/>
      <c r="O128" s="216"/>
      <c r="P128" s="216"/>
      <c r="Q128" s="216"/>
      <c r="R128" s="216"/>
      <c r="S128" s="216"/>
      <c r="T128" s="216"/>
    </row>
    <row r="129" spans="1:20" hidden="1">
      <c r="A129" s="216"/>
      <c r="B129" s="216"/>
      <c r="C129" s="216"/>
      <c r="D129" s="216"/>
      <c r="E129" s="216"/>
      <c r="F129" s="216"/>
      <c r="G129" s="216"/>
      <c r="H129" s="216"/>
      <c r="I129" s="216"/>
      <c r="J129" s="216"/>
      <c r="K129" s="216"/>
      <c r="L129" s="216"/>
      <c r="M129" s="216"/>
      <c r="N129" s="216"/>
      <c r="O129" s="216"/>
      <c r="P129" s="216"/>
      <c r="Q129" s="216"/>
      <c r="R129" s="216"/>
      <c r="S129" s="216"/>
      <c r="T129" s="216"/>
    </row>
    <row r="130" spans="1:20" hidden="1">
      <c r="A130" s="216"/>
      <c r="B130" s="216"/>
      <c r="C130" s="216"/>
      <c r="D130" s="216"/>
      <c r="E130" s="216"/>
      <c r="F130" s="216"/>
      <c r="G130" s="216"/>
      <c r="H130" s="216"/>
      <c r="I130" s="216"/>
      <c r="J130" s="216"/>
      <c r="K130" s="216"/>
      <c r="L130" s="216"/>
      <c r="M130" s="216"/>
      <c r="N130" s="216"/>
      <c r="O130" s="216"/>
      <c r="P130" s="216"/>
      <c r="Q130" s="216"/>
      <c r="R130" s="216"/>
      <c r="S130" s="216"/>
      <c r="T130" s="216"/>
    </row>
    <row r="131" spans="1:20" hidden="1">
      <c r="A131" s="216"/>
      <c r="B131" s="216"/>
      <c r="C131" s="216"/>
      <c r="D131" s="216"/>
      <c r="E131" s="216"/>
      <c r="F131" s="216"/>
      <c r="G131" s="216"/>
      <c r="H131" s="216"/>
      <c r="I131" s="216"/>
      <c r="J131" s="216"/>
      <c r="K131" s="216"/>
      <c r="L131" s="216"/>
      <c r="M131" s="216"/>
      <c r="N131" s="216"/>
      <c r="O131" s="216"/>
      <c r="P131" s="216"/>
      <c r="Q131" s="216"/>
      <c r="R131" s="216"/>
      <c r="S131" s="216"/>
      <c r="T131" s="216"/>
    </row>
    <row r="132" spans="1:20" hidden="1">
      <c r="A132" s="216"/>
      <c r="B132" s="216"/>
      <c r="C132" s="216"/>
      <c r="D132" s="216"/>
      <c r="E132" s="216"/>
      <c r="F132" s="216"/>
      <c r="G132" s="216"/>
      <c r="H132" s="216"/>
      <c r="I132" s="216"/>
      <c r="J132" s="216"/>
      <c r="K132" s="216"/>
      <c r="L132" s="216"/>
      <c r="M132" s="216"/>
      <c r="N132" s="216"/>
      <c r="O132" s="216"/>
      <c r="P132" s="216"/>
      <c r="Q132" s="216"/>
      <c r="R132" s="216"/>
      <c r="S132" s="216"/>
      <c r="T132" s="216"/>
    </row>
    <row r="133" spans="1:20" hidden="1">
      <c r="A133" s="216"/>
      <c r="B133" s="216"/>
      <c r="C133" s="216"/>
      <c r="D133" s="216"/>
      <c r="E133" s="216"/>
      <c r="F133" s="216"/>
      <c r="G133" s="216"/>
      <c r="H133" s="216"/>
      <c r="I133" s="216"/>
      <c r="J133" s="216"/>
      <c r="K133" s="216"/>
      <c r="L133" s="216"/>
      <c r="M133" s="216"/>
      <c r="N133" s="216"/>
      <c r="O133" s="216"/>
      <c r="P133" s="216"/>
      <c r="Q133" s="216"/>
      <c r="R133" s="216"/>
      <c r="S133" s="216"/>
      <c r="T133" s="216"/>
    </row>
    <row r="134" spans="1:20" hidden="1">
      <c r="A134" s="216"/>
      <c r="B134" s="216"/>
      <c r="C134" s="216"/>
      <c r="D134" s="216"/>
      <c r="E134" s="216"/>
      <c r="F134" s="216"/>
      <c r="G134" s="216"/>
      <c r="H134" s="216"/>
      <c r="I134" s="216"/>
      <c r="J134" s="216"/>
      <c r="K134" s="216"/>
      <c r="L134" s="216"/>
      <c r="M134" s="216"/>
      <c r="N134" s="216"/>
      <c r="O134" s="216"/>
      <c r="P134" s="216"/>
      <c r="Q134" s="216"/>
      <c r="R134" s="216"/>
      <c r="S134" s="216"/>
      <c r="T134" s="216"/>
    </row>
    <row r="135" spans="1:20" hidden="1">
      <c r="A135" s="216"/>
      <c r="B135" s="216"/>
      <c r="C135" s="216"/>
      <c r="D135" s="216"/>
      <c r="E135" s="216"/>
      <c r="F135" s="216"/>
      <c r="G135" s="216"/>
      <c r="H135" s="216"/>
      <c r="I135" s="216"/>
      <c r="J135" s="216"/>
      <c r="K135" s="216"/>
      <c r="L135" s="216"/>
      <c r="M135" s="216"/>
      <c r="N135" s="216"/>
      <c r="O135" s="216"/>
      <c r="P135" s="216"/>
      <c r="Q135" s="216"/>
      <c r="R135" s="216"/>
      <c r="S135" s="216"/>
      <c r="T135" s="216"/>
    </row>
    <row r="136" spans="1:20" hidden="1">
      <c r="A136" s="216"/>
      <c r="B136" s="216"/>
      <c r="C136" s="216"/>
      <c r="D136" s="216"/>
      <c r="E136" s="216"/>
      <c r="F136" s="216"/>
      <c r="G136" s="216"/>
      <c r="H136" s="216"/>
      <c r="I136" s="216"/>
      <c r="J136" s="216"/>
      <c r="K136" s="216"/>
      <c r="L136" s="216"/>
      <c r="M136" s="216"/>
      <c r="N136" s="216"/>
      <c r="O136" s="216"/>
      <c r="P136" s="216"/>
      <c r="Q136" s="216"/>
      <c r="R136" s="216"/>
      <c r="S136" s="216"/>
      <c r="T136" s="216"/>
    </row>
    <row r="137" spans="1:20" hidden="1">
      <c r="A137" s="216"/>
      <c r="B137" s="216"/>
      <c r="C137" s="216"/>
      <c r="D137" s="216"/>
      <c r="E137" s="216"/>
      <c r="F137" s="216"/>
      <c r="G137" s="216"/>
      <c r="H137" s="216"/>
      <c r="I137" s="216"/>
      <c r="J137" s="216"/>
      <c r="K137" s="216"/>
      <c r="L137" s="216"/>
      <c r="M137" s="216"/>
      <c r="N137" s="216"/>
      <c r="O137" s="216"/>
      <c r="P137" s="216"/>
      <c r="Q137" s="216"/>
      <c r="R137" s="216"/>
      <c r="S137" s="216"/>
      <c r="T137" s="216"/>
    </row>
    <row r="138" spans="1:20" hidden="1">
      <c r="A138" s="216"/>
      <c r="B138" s="216"/>
      <c r="C138" s="216"/>
      <c r="D138" s="216"/>
      <c r="E138" s="216"/>
      <c r="F138" s="216"/>
      <c r="G138" s="216"/>
      <c r="H138" s="216"/>
      <c r="I138" s="216"/>
      <c r="J138" s="216"/>
      <c r="K138" s="216"/>
      <c r="L138" s="216"/>
      <c r="M138" s="216"/>
      <c r="N138" s="216"/>
      <c r="O138" s="216"/>
      <c r="P138" s="216"/>
      <c r="Q138" s="216"/>
      <c r="R138" s="216"/>
      <c r="S138" s="216"/>
      <c r="T138" s="216"/>
    </row>
    <row r="139" spans="1:20" hidden="1">
      <c r="A139" s="216"/>
      <c r="B139" s="216"/>
      <c r="C139" s="216"/>
      <c r="D139" s="216"/>
      <c r="E139" s="216"/>
      <c r="F139" s="216"/>
      <c r="G139" s="216"/>
      <c r="H139" s="216"/>
      <c r="I139" s="216"/>
      <c r="J139" s="216"/>
      <c r="K139" s="216"/>
      <c r="L139" s="216"/>
      <c r="M139" s="216"/>
      <c r="N139" s="216"/>
      <c r="O139" s="216"/>
      <c r="P139" s="216"/>
      <c r="Q139" s="216"/>
      <c r="R139" s="216"/>
      <c r="S139" s="216"/>
      <c r="T139" s="216"/>
    </row>
    <row r="140" spans="1:20" hidden="1">
      <c r="A140" s="216"/>
      <c r="B140" s="216"/>
      <c r="C140" s="216"/>
      <c r="D140" s="216"/>
      <c r="E140" s="216"/>
      <c r="F140" s="216"/>
      <c r="G140" s="216"/>
      <c r="H140" s="216"/>
      <c r="I140" s="216"/>
      <c r="J140" s="216"/>
      <c r="K140" s="216"/>
      <c r="L140" s="216"/>
      <c r="M140" s="216"/>
      <c r="N140" s="216"/>
      <c r="O140" s="216"/>
      <c r="P140" s="216"/>
      <c r="Q140" s="216"/>
      <c r="R140" s="216"/>
      <c r="S140" s="216"/>
      <c r="T140" s="216"/>
    </row>
    <row r="141" spans="1:20" hidden="1">
      <c r="A141" s="216"/>
      <c r="B141" s="216"/>
      <c r="C141" s="216"/>
      <c r="D141" s="216"/>
      <c r="E141" s="216"/>
      <c r="F141" s="216"/>
      <c r="G141" s="216"/>
      <c r="H141" s="216"/>
      <c r="I141" s="216"/>
      <c r="J141" s="216"/>
      <c r="K141" s="216"/>
      <c r="L141" s="216"/>
      <c r="M141" s="216"/>
      <c r="N141" s="216"/>
      <c r="O141" s="216"/>
      <c r="P141" s="216"/>
      <c r="Q141" s="216"/>
      <c r="R141" s="216"/>
      <c r="S141" s="216"/>
      <c r="T141" s="216"/>
    </row>
    <row r="142" spans="1:20" hidden="1">
      <c r="A142" s="216"/>
      <c r="B142" s="216"/>
      <c r="C142" s="216"/>
      <c r="D142" s="216"/>
      <c r="E142" s="216"/>
      <c r="F142" s="216"/>
      <c r="G142" s="216"/>
      <c r="H142" s="216"/>
      <c r="I142" s="216"/>
      <c r="J142" s="216"/>
      <c r="K142" s="216"/>
      <c r="L142" s="216"/>
      <c r="M142" s="216"/>
      <c r="N142" s="216"/>
      <c r="O142" s="216"/>
      <c r="P142" s="216"/>
      <c r="Q142" s="216"/>
      <c r="R142" s="216"/>
      <c r="S142" s="216"/>
      <c r="T142" s="216"/>
    </row>
    <row r="143" spans="1:20" hidden="1">
      <c r="A143" s="216"/>
      <c r="B143" s="216"/>
      <c r="C143" s="216"/>
      <c r="D143" s="216"/>
      <c r="E143" s="216"/>
      <c r="F143" s="216"/>
      <c r="G143" s="216"/>
      <c r="H143" s="216"/>
      <c r="I143" s="216"/>
      <c r="J143" s="216"/>
      <c r="K143" s="216"/>
      <c r="L143" s="216"/>
      <c r="M143" s="216"/>
      <c r="N143" s="216"/>
      <c r="O143" s="216"/>
      <c r="P143" s="216"/>
      <c r="Q143" s="216"/>
      <c r="R143" s="216"/>
      <c r="S143" s="216"/>
      <c r="T143" s="216"/>
    </row>
    <row r="144" spans="1:20" hidden="1">
      <c r="A144" s="216"/>
      <c r="B144" s="216"/>
      <c r="C144" s="216"/>
      <c r="D144" s="216"/>
      <c r="E144" s="216"/>
      <c r="F144" s="216"/>
      <c r="G144" s="216"/>
      <c r="H144" s="216"/>
      <c r="I144" s="216"/>
      <c r="J144" s="216"/>
      <c r="K144" s="216"/>
      <c r="L144" s="216"/>
      <c r="M144" s="216"/>
      <c r="N144" s="216"/>
      <c r="O144" s="216"/>
      <c r="P144" s="216"/>
      <c r="Q144" s="216"/>
      <c r="R144" s="216"/>
      <c r="S144" s="216"/>
      <c r="T144" s="216"/>
    </row>
    <row r="145" spans="1:20" hidden="1">
      <c r="A145" s="216"/>
      <c r="B145" s="216"/>
      <c r="C145" s="216"/>
      <c r="D145" s="216"/>
      <c r="E145" s="216"/>
      <c r="F145" s="216"/>
      <c r="G145" s="216"/>
      <c r="H145" s="216"/>
      <c r="I145" s="216"/>
      <c r="J145" s="216"/>
      <c r="K145" s="216"/>
      <c r="L145" s="216"/>
      <c r="M145" s="216"/>
      <c r="N145" s="216"/>
      <c r="O145" s="216"/>
      <c r="P145" s="216"/>
      <c r="Q145" s="216"/>
      <c r="R145" s="216"/>
      <c r="S145" s="216"/>
      <c r="T145" s="216"/>
    </row>
    <row r="146" spans="1:20" hidden="1">
      <c r="A146" s="216"/>
      <c r="B146" s="216"/>
      <c r="C146" s="216"/>
      <c r="D146" s="216"/>
      <c r="E146" s="216"/>
      <c r="F146" s="216"/>
      <c r="G146" s="216"/>
      <c r="H146" s="216"/>
      <c r="I146" s="216"/>
      <c r="J146" s="216"/>
      <c r="K146" s="216"/>
      <c r="L146" s="216"/>
      <c r="M146" s="216"/>
      <c r="N146" s="216"/>
      <c r="O146" s="216"/>
      <c r="P146" s="216"/>
      <c r="Q146" s="216"/>
      <c r="R146" s="216"/>
      <c r="S146" s="216"/>
      <c r="T146" s="216"/>
    </row>
    <row r="147" spans="1:20" hidden="1">
      <c r="A147" s="216"/>
      <c r="B147" s="216"/>
      <c r="C147" s="216"/>
      <c r="D147" s="216"/>
      <c r="E147" s="216"/>
      <c r="F147" s="216"/>
      <c r="G147" s="216"/>
      <c r="H147" s="216"/>
      <c r="I147" s="216"/>
      <c r="J147" s="216"/>
      <c r="K147" s="216"/>
      <c r="L147" s="216"/>
      <c r="M147" s="216"/>
      <c r="N147" s="216"/>
      <c r="O147" s="216"/>
      <c r="P147" s="216"/>
      <c r="Q147" s="216"/>
      <c r="R147" s="216"/>
      <c r="S147" s="216"/>
      <c r="T147" s="216"/>
    </row>
    <row r="148" spans="1:20" hidden="1">
      <c r="A148" s="216"/>
      <c r="B148" s="216"/>
      <c r="C148" s="216"/>
      <c r="D148" s="216"/>
      <c r="E148" s="216"/>
      <c r="F148" s="216"/>
      <c r="G148" s="216"/>
      <c r="H148" s="216"/>
      <c r="I148" s="216"/>
      <c r="J148" s="216"/>
      <c r="K148" s="216"/>
      <c r="L148" s="216"/>
      <c r="M148" s="216"/>
      <c r="N148" s="216"/>
      <c r="O148" s="216"/>
      <c r="P148" s="216"/>
      <c r="Q148" s="216"/>
      <c r="R148" s="216"/>
      <c r="S148" s="216"/>
      <c r="T148" s="216"/>
    </row>
    <row r="149" spans="1:20" hidden="1">
      <c r="A149" s="216"/>
      <c r="B149" s="216"/>
      <c r="C149" s="216"/>
      <c r="D149" s="216"/>
      <c r="E149" s="216"/>
      <c r="F149" s="216"/>
      <c r="G149" s="216"/>
      <c r="H149" s="216"/>
      <c r="I149" s="216"/>
      <c r="J149" s="216"/>
      <c r="K149" s="216"/>
      <c r="L149" s="216"/>
      <c r="M149" s="216"/>
      <c r="N149" s="216"/>
      <c r="O149" s="216"/>
      <c r="P149" s="216"/>
      <c r="Q149" s="216"/>
      <c r="R149" s="216"/>
      <c r="S149" s="216"/>
      <c r="T149" s="216"/>
    </row>
    <row r="150" spans="1:20" hidden="1">
      <c r="A150" s="216"/>
      <c r="B150" s="216"/>
      <c r="C150" s="216"/>
      <c r="D150" s="216"/>
      <c r="E150" s="216"/>
      <c r="F150" s="216"/>
      <c r="G150" s="216"/>
      <c r="H150" s="216"/>
      <c r="I150" s="216"/>
      <c r="J150" s="216"/>
      <c r="K150" s="216"/>
      <c r="L150" s="216"/>
      <c r="M150" s="216"/>
      <c r="N150" s="216"/>
      <c r="O150" s="216"/>
      <c r="P150" s="216"/>
      <c r="Q150" s="216"/>
      <c r="R150" s="216"/>
      <c r="S150" s="216"/>
      <c r="T150" s="216"/>
    </row>
    <row r="151" spans="1:20" hidden="1">
      <c r="A151" s="216"/>
      <c r="B151" s="216"/>
      <c r="C151" s="216"/>
      <c r="D151" s="216"/>
      <c r="E151" s="216"/>
      <c r="F151" s="216"/>
      <c r="G151" s="216"/>
      <c r="H151" s="216"/>
      <c r="I151" s="216"/>
      <c r="J151" s="216"/>
      <c r="K151" s="216"/>
      <c r="L151" s="216"/>
      <c r="M151" s="216"/>
      <c r="N151" s="216"/>
      <c r="O151" s="216"/>
      <c r="P151" s="216"/>
      <c r="Q151" s="216"/>
      <c r="R151" s="216"/>
      <c r="S151" s="216"/>
      <c r="T151" s="216"/>
    </row>
    <row r="152" spans="1:20" hidden="1">
      <c r="A152" s="216"/>
      <c r="B152" s="216"/>
      <c r="C152" s="216"/>
      <c r="D152" s="216"/>
      <c r="E152" s="216"/>
      <c r="F152" s="216"/>
      <c r="G152" s="216"/>
      <c r="H152" s="216"/>
      <c r="I152" s="216"/>
      <c r="J152" s="216"/>
      <c r="K152" s="216"/>
      <c r="L152" s="216"/>
      <c r="M152" s="216"/>
      <c r="N152" s="216"/>
      <c r="O152" s="216"/>
      <c r="P152" s="216"/>
      <c r="Q152" s="216"/>
      <c r="R152" s="216"/>
      <c r="S152" s="216"/>
      <c r="T152" s="216"/>
    </row>
    <row r="153" spans="1:20" hidden="1">
      <c r="A153" s="216"/>
      <c r="B153" s="216"/>
      <c r="C153" s="216"/>
      <c r="D153" s="216"/>
      <c r="E153" s="216"/>
      <c r="F153" s="216"/>
      <c r="G153" s="216"/>
      <c r="H153" s="216"/>
      <c r="I153" s="216"/>
      <c r="J153" s="216"/>
      <c r="K153" s="216"/>
      <c r="L153" s="216"/>
      <c r="M153" s="216"/>
      <c r="N153" s="216"/>
      <c r="O153" s="216"/>
      <c r="P153" s="216"/>
      <c r="Q153" s="216"/>
      <c r="R153" s="216"/>
      <c r="S153" s="216"/>
      <c r="T153" s="216"/>
    </row>
    <row r="154" spans="1:20" hidden="1">
      <c r="A154" s="216"/>
      <c r="B154" s="216"/>
      <c r="C154" s="216"/>
      <c r="D154" s="216"/>
      <c r="E154" s="216"/>
      <c r="F154" s="216"/>
      <c r="G154" s="216"/>
      <c r="H154" s="216"/>
      <c r="I154" s="216"/>
      <c r="J154" s="216"/>
      <c r="K154" s="216"/>
      <c r="L154" s="216"/>
      <c r="M154" s="216"/>
      <c r="N154" s="216"/>
      <c r="O154" s="216"/>
      <c r="P154" s="216"/>
      <c r="Q154" s="216"/>
      <c r="R154" s="216"/>
      <c r="S154" s="216"/>
      <c r="T154" s="216"/>
    </row>
    <row r="155" spans="1:20" hidden="1">
      <c r="A155" s="216"/>
      <c r="B155" s="216"/>
      <c r="C155" s="216"/>
      <c r="D155" s="216"/>
      <c r="E155" s="216"/>
      <c r="F155" s="216"/>
      <c r="G155" s="216"/>
      <c r="H155" s="216"/>
      <c r="I155" s="216"/>
      <c r="J155" s="216"/>
      <c r="K155" s="216"/>
      <c r="L155" s="216"/>
      <c r="M155" s="216"/>
      <c r="N155" s="216"/>
      <c r="O155" s="216"/>
      <c r="P155" s="216"/>
      <c r="Q155" s="216"/>
      <c r="R155" s="216"/>
      <c r="S155" s="216"/>
      <c r="T155" s="216"/>
    </row>
    <row r="156" spans="1:20" hidden="1">
      <c r="A156" s="216"/>
      <c r="B156" s="216"/>
      <c r="C156" s="216"/>
      <c r="D156" s="216"/>
      <c r="E156" s="216"/>
      <c r="F156" s="216"/>
      <c r="G156" s="216"/>
      <c r="H156" s="216"/>
      <c r="I156" s="216"/>
      <c r="J156" s="216"/>
      <c r="K156" s="216"/>
      <c r="L156" s="216"/>
      <c r="M156" s="216"/>
      <c r="N156" s="216"/>
      <c r="O156" s="216"/>
      <c r="P156" s="216"/>
      <c r="Q156" s="216"/>
      <c r="R156" s="216"/>
      <c r="S156" s="216"/>
      <c r="T156" s="216"/>
    </row>
    <row r="157" spans="1:20" hidden="1">
      <c r="A157" s="216"/>
      <c r="B157" s="216"/>
      <c r="C157" s="216"/>
      <c r="D157" s="216"/>
      <c r="E157" s="216"/>
      <c r="F157" s="216"/>
      <c r="G157" s="216"/>
      <c r="H157" s="216"/>
      <c r="I157" s="216"/>
      <c r="J157" s="216"/>
      <c r="K157" s="216"/>
      <c r="L157" s="216"/>
      <c r="M157" s="216"/>
      <c r="N157" s="216"/>
      <c r="O157" s="216"/>
      <c r="P157" s="216"/>
      <c r="Q157" s="216"/>
      <c r="R157" s="216"/>
      <c r="S157" s="216"/>
      <c r="T157" s="216"/>
    </row>
    <row r="158" spans="1:20" hidden="1">
      <c r="A158" s="216"/>
      <c r="B158" s="216"/>
      <c r="C158" s="216"/>
      <c r="D158" s="216"/>
      <c r="E158" s="216"/>
      <c r="F158" s="216"/>
      <c r="G158" s="216"/>
      <c r="H158" s="216"/>
      <c r="I158" s="216"/>
      <c r="J158" s="216"/>
      <c r="K158" s="216"/>
      <c r="L158" s="216"/>
      <c r="M158" s="216"/>
      <c r="N158" s="216"/>
      <c r="O158" s="216"/>
      <c r="P158" s="216"/>
      <c r="Q158" s="216"/>
      <c r="R158" s="216"/>
      <c r="S158" s="216"/>
      <c r="T158" s="216"/>
    </row>
    <row r="159" spans="1:20" hidden="1">
      <c r="A159" s="216"/>
      <c r="B159" s="216"/>
      <c r="C159" s="216"/>
      <c r="D159" s="216"/>
      <c r="E159" s="216"/>
      <c r="F159" s="216"/>
      <c r="G159" s="216"/>
      <c r="H159" s="216"/>
      <c r="I159" s="216"/>
      <c r="J159" s="216"/>
      <c r="K159" s="216"/>
      <c r="L159" s="216"/>
      <c r="M159" s="216"/>
      <c r="N159" s="216"/>
      <c r="O159" s="216"/>
      <c r="P159" s="216"/>
      <c r="Q159" s="216"/>
      <c r="R159" s="216"/>
      <c r="S159" s="216"/>
      <c r="T159" s="216"/>
    </row>
    <row r="160" spans="1:20" hidden="1">
      <c r="A160" s="216"/>
      <c r="B160" s="216"/>
      <c r="C160" s="216"/>
      <c r="D160" s="216"/>
      <c r="E160" s="216"/>
      <c r="F160" s="216"/>
      <c r="G160" s="216"/>
      <c r="H160" s="216"/>
      <c r="I160" s="216"/>
      <c r="J160" s="216"/>
      <c r="K160" s="216"/>
      <c r="L160" s="216"/>
      <c r="M160" s="216"/>
      <c r="N160" s="216"/>
      <c r="O160" s="216"/>
      <c r="P160" s="216"/>
      <c r="Q160" s="216"/>
      <c r="R160" s="216"/>
      <c r="S160" s="216"/>
      <c r="T160" s="216"/>
    </row>
    <row r="161" spans="1:20" hidden="1">
      <c r="A161" s="216"/>
      <c r="B161" s="216"/>
      <c r="C161" s="216"/>
      <c r="D161" s="216"/>
      <c r="E161" s="216"/>
      <c r="F161" s="216"/>
      <c r="G161" s="216"/>
      <c r="H161" s="216"/>
      <c r="I161" s="216"/>
      <c r="J161" s="216"/>
      <c r="K161" s="216"/>
      <c r="L161" s="216"/>
      <c r="M161" s="216"/>
      <c r="N161" s="216"/>
      <c r="O161" s="216"/>
      <c r="P161" s="216"/>
      <c r="Q161" s="216"/>
      <c r="R161" s="216"/>
      <c r="S161" s="216"/>
      <c r="T161" s="216"/>
    </row>
    <row r="162" spans="1:20" hidden="1">
      <c r="A162" s="216"/>
      <c r="B162" s="216"/>
      <c r="C162" s="216"/>
      <c r="D162" s="216"/>
      <c r="E162" s="216"/>
      <c r="F162" s="216"/>
      <c r="G162" s="216"/>
      <c r="H162" s="216"/>
      <c r="I162" s="216"/>
      <c r="J162" s="216"/>
      <c r="K162" s="216"/>
      <c r="L162" s="216"/>
      <c r="M162" s="216"/>
      <c r="N162" s="216"/>
      <c r="O162" s="216"/>
      <c r="P162" s="216"/>
      <c r="Q162" s="216"/>
      <c r="R162" s="216"/>
      <c r="S162" s="216"/>
      <c r="T162" s="216"/>
    </row>
    <row r="163" spans="1:20" hidden="1">
      <c r="A163" s="216"/>
      <c r="B163" s="216"/>
      <c r="C163" s="216"/>
      <c r="D163" s="216"/>
      <c r="E163" s="216"/>
      <c r="F163" s="216"/>
      <c r="G163" s="216"/>
      <c r="H163" s="216"/>
      <c r="I163" s="216"/>
      <c r="J163" s="216"/>
      <c r="K163" s="216"/>
      <c r="L163" s="216"/>
      <c r="M163" s="216"/>
      <c r="N163" s="216"/>
      <c r="O163" s="216"/>
      <c r="P163" s="216"/>
      <c r="Q163" s="216"/>
      <c r="R163" s="216"/>
      <c r="S163" s="216"/>
      <c r="T163" s="216"/>
    </row>
    <row r="164" spans="1:20" hidden="1">
      <c r="A164" s="216"/>
      <c r="B164" s="216"/>
      <c r="C164" s="216"/>
      <c r="D164" s="216"/>
      <c r="E164" s="216"/>
      <c r="F164" s="216"/>
      <c r="G164" s="216"/>
      <c r="H164" s="216"/>
      <c r="I164" s="216"/>
      <c r="J164" s="216"/>
      <c r="K164" s="216"/>
      <c r="L164" s="216"/>
      <c r="M164" s="216"/>
      <c r="N164" s="216"/>
      <c r="O164" s="216"/>
      <c r="P164" s="216"/>
      <c r="Q164" s="216"/>
      <c r="R164" s="216"/>
      <c r="S164" s="216"/>
      <c r="T164" s="216"/>
    </row>
    <row r="165" spans="1:20" hidden="1">
      <c r="A165" s="216"/>
      <c r="B165" s="216"/>
      <c r="C165" s="216"/>
      <c r="D165" s="216"/>
      <c r="E165" s="216"/>
      <c r="F165" s="216"/>
      <c r="G165" s="216"/>
      <c r="H165" s="216"/>
      <c r="I165" s="216"/>
      <c r="J165" s="216"/>
      <c r="K165" s="216"/>
      <c r="L165" s="216"/>
      <c r="M165" s="216"/>
      <c r="N165" s="216"/>
      <c r="O165" s="216"/>
      <c r="P165" s="216"/>
      <c r="Q165" s="216"/>
      <c r="R165" s="216"/>
      <c r="S165" s="216"/>
      <c r="T165" s="216"/>
    </row>
    <row r="166" spans="1:20" hidden="1">
      <c r="A166" s="216"/>
      <c r="B166" s="216"/>
      <c r="C166" s="216"/>
      <c r="D166" s="216"/>
      <c r="E166" s="216"/>
      <c r="F166" s="216"/>
      <c r="G166" s="216"/>
      <c r="H166" s="216"/>
      <c r="I166" s="216"/>
      <c r="J166" s="216"/>
      <c r="K166" s="216"/>
      <c r="L166" s="216"/>
      <c r="M166" s="216"/>
      <c r="N166" s="216"/>
      <c r="O166" s="216"/>
      <c r="P166" s="216"/>
      <c r="Q166" s="216"/>
      <c r="R166" s="216"/>
      <c r="S166" s="216"/>
      <c r="T166" s="216"/>
    </row>
  </sheetData>
  <sheetProtection autoFilter="0"/>
  <mergeCells count="116">
    <mergeCell ref="S18:T18"/>
    <mergeCell ref="F1:T4"/>
    <mergeCell ref="A6:T7"/>
    <mergeCell ref="I8:L8"/>
    <mergeCell ref="O8:R8"/>
    <mergeCell ref="M11:N11"/>
    <mergeCell ref="S11:T11"/>
    <mergeCell ref="J10:L10"/>
    <mergeCell ref="P10:R10"/>
    <mergeCell ref="Q11:R11"/>
    <mergeCell ref="M10:N10"/>
    <mergeCell ref="S10:T10"/>
    <mergeCell ref="K11:L11"/>
    <mergeCell ref="A8:C8"/>
    <mergeCell ref="Q14:R14"/>
    <mergeCell ref="K17:L17"/>
    <mergeCell ref="S17:T17"/>
    <mergeCell ref="Q17:R17"/>
    <mergeCell ref="M17:N17"/>
    <mergeCell ref="K12:L12"/>
    <mergeCell ref="K13:L13"/>
    <mergeCell ref="K14:L14"/>
    <mergeCell ref="K15:L15"/>
    <mergeCell ref="S15:T15"/>
    <mergeCell ref="M21:N21"/>
    <mergeCell ref="M22:N22"/>
    <mergeCell ref="M20:N20"/>
    <mergeCell ref="E38:F38"/>
    <mergeCell ref="K18:L18"/>
    <mergeCell ref="K19:L19"/>
    <mergeCell ref="K20:L20"/>
    <mergeCell ref="K22:L22"/>
    <mergeCell ref="K21:L21"/>
    <mergeCell ref="M18:N18"/>
    <mergeCell ref="M19:N19"/>
    <mergeCell ref="F37:K37"/>
    <mergeCell ref="J38:L38"/>
    <mergeCell ref="G38:I38"/>
    <mergeCell ref="N37:S37"/>
    <mergeCell ref="Q21:R21"/>
    <mergeCell ref="Q22:R22"/>
    <mergeCell ref="S21:T21"/>
    <mergeCell ref="S22:T22"/>
    <mergeCell ref="S19:T19"/>
    <mergeCell ref="M38:N38"/>
    <mergeCell ref="S20:T20"/>
    <mergeCell ref="Q18:R18"/>
    <mergeCell ref="Q19:R19"/>
    <mergeCell ref="S16:T16"/>
    <mergeCell ref="S12:T12"/>
    <mergeCell ref="S13:T13"/>
    <mergeCell ref="S14:T14"/>
    <mergeCell ref="M15:N15"/>
    <mergeCell ref="M16:N16"/>
    <mergeCell ref="K16:L16"/>
    <mergeCell ref="Q15:R15"/>
    <mergeCell ref="Q16:R16"/>
    <mergeCell ref="Q12:R12"/>
    <mergeCell ref="M12:N12"/>
    <mergeCell ref="M13:N13"/>
    <mergeCell ref="M14:N14"/>
    <mergeCell ref="Q13:R13"/>
    <mergeCell ref="Q20:R20"/>
    <mergeCell ref="O38:Q38"/>
    <mergeCell ref="R38:T38"/>
    <mergeCell ref="F54:T57"/>
    <mergeCell ref="E41:F41"/>
    <mergeCell ref="E40:F40"/>
    <mergeCell ref="E39:F39"/>
    <mergeCell ref="J39:L39"/>
    <mergeCell ref="J40:L40"/>
    <mergeCell ref="J41:L41"/>
    <mergeCell ref="O39:Q39"/>
    <mergeCell ref="O40:Q40"/>
    <mergeCell ref="G39:I39"/>
    <mergeCell ref="G40:I40"/>
    <mergeCell ref="G41:I41"/>
    <mergeCell ref="G42:I42"/>
    <mergeCell ref="G43:I43"/>
    <mergeCell ref="O41:Q41"/>
    <mergeCell ref="R39:T39"/>
    <mergeCell ref="R40:T40"/>
    <mergeCell ref="R41:T41"/>
    <mergeCell ref="M40:N40"/>
    <mergeCell ref="M41:N41"/>
    <mergeCell ref="M39:N39"/>
    <mergeCell ref="A59:T60"/>
    <mergeCell ref="M44:N44"/>
    <mergeCell ref="M43:N43"/>
    <mergeCell ref="M42:N42"/>
    <mergeCell ref="E42:F42"/>
    <mergeCell ref="E44:F44"/>
    <mergeCell ref="E43:F43"/>
    <mergeCell ref="O42:Q42"/>
    <mergeCell ref="O43:Q43"/>
    <mergeCell ref="O44:Q44"/>
    <mergeCell ref="R42:T42"/>
    <mergeCell ref="R43:T43"/>
    <mergeCell ref="R44:T44"/>
    <mergeCell ref="G44:I44"/>
    <mergeCell ref="J42:L42"/>
    <mergeCell ref="J43:L43"/>
    <mergeCell ref="J44:L44"/>
    <mergeCell ref="A68:D69"/>
    <mergeCell ref="E68:F68"/>
    <mergeCell ref="E69:F69"/>
    <mergeCell ref="H62:K62"/>
    <mergeCell ref="O62:R62"/>
    <mergeCell ref="A66:D67"/>
    <mergeCell ref="E66:F66"/>
    <mergeCell ref="E67:F67"/>
    <mergeCell ref="G65:I65"/>
    <mergeCell ref="J65:L65"/>
    <mergeCell ref="N65:P65"/>
    <mergeCell ref="Q65:S65"/>
    <mergeCell ref="A62:C62"/>
  </mergeCells>
  <dataValidations count="2">
    <dataValidation type="list" allowBlank="1" showInputMessage="1" showErrorMessage="1" sqref="I8:L8" xr:uid="{00000000-0002-0000-0000-000000000000}">
      <formula1>$B$160:$B$206</formula1>
    </dataValidation>
    <dataValidation type="list" allowBlank="1" showInputMessage="1" showErrorMessage="1" sqref="O62" xr:uid="{00000000-0002-0000-0000-000001000000}">
      <formula1>$B$6:$B$54</formula1>
    </dataValidation>
  </dataValidations>
  <hyperlinks>
    <hyperlink ref="A9" location="Glossaire!A205" display="Emplois salariés par secteur d'activité en 2013" xr:uid="{00000000-0004-0000-0000-000000000000}"/>
    <hyperlink ref="A9:H9" location="Glossaire!A200" display="Emplois salariés par secteur d'activité en 2013" xr:uid="{00000000-0004-0000-0000-000001000000}"/>
    <hyperlink ref="A36:D36" location="Glossaire!A65" display="Emplois salariés privés" xr:uid="{00000000-0004-0000-0000-000002000000}"/>
    <hyperlink ref="A64:E64" location="Glossaire!A227" display="Sphères économiques en 2013" xr:uid="{00000000-0004-0000-0000-000003000000}"/>
    <hyperlink ref="L9:Q9" location="Annexe!A1" display="Egalement disponible en 38 postes" xr:uid="{00000000-0004-0000-0000-000004000000}"/>
    <hyperlink ref="L9:R9" location="Annexe!A59" display="Egalement disponible en 38 postes ici" xr:uid="{00000000-0004-0000-0000-000005000000}"/>
    <hyperlink ref="A64:F64" location="Glossaire!A232" display="Sphères économiques en 2013" xr:uid="{00000000-0004-0000-0000-000006000000}"/>
    <hyperlink ref="A9:I9" location="Glossaire!A205" display="Emplois salariés par secteur d'activité en 2014" xr:uid="{00000000-0004-0000-0000-000007000000}"/>
  </hyperlinks>
  <pageMargins left="0.23622047244094491" right="0.23622047244094491" top="0.55118110236220474" bottom="0.55118110236220474" header="0.11811023622047245" footer="0.11811023622047245"/>
  <pageSetup paperSize="9" fitToHeight="2" orientation="portrait" r:id="rId1"/>
  <headerFooter>
    <oddHeader>&amp;C&amp;"Arial,Gras"&amp;10Tableau de bord / Mise à jour mars 2017</oddHeader>
    <oddFooter>&amp;C&amp;"-,Italique"&amp;8&amp;A&amp;R&amp;8Page &amp;P</oddFooter>
  </headerFooter>
  <rowBreaks count="1" manualBreakCount="1">
    <brk id="53"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'D_Ch-5-1'!$B$162:$B$208</xm:f>
          </x14:formula1>
          <xm:sqref>O8:R8</xm:sqref>
        </x14:dataValidation>
        <x14:dataValidation type="list" allowBlank="1" showInputMessage="1" showErrorMessage="1" xr:uid="{00000000-0002-0000-0000-000003000000}">
          <x14:formula1>
            <xm:f>'D_Ch-5-1'!$B$6:$B$54</xm:f>
          </x14:formula1>
          <xm:sqref>H62:K62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L122"/>
  <sheetViews>
    <sheetView topLeftCell="A6" workbookViewId="0">
      <selection activeCell="H7" sqref="H7:S7"/>
    </sheetView>
  </sheetViews>
  <sheetFormatPr baseColWidth="10" defaultRowHeight="11.25"/>
  <cols>
    <col min="1" max="1" width="31.28515625" style="116" bestFit="1" customWidth="1"/>
    <col min="2" max="2" width="25" style="116" bestFit="1" customWidth="1"/>
    <col min="3" max="3" width="15.85546875" style="116" customWidth="1"/>
    <col min="4" max="16384" width="11.42578125" style="116"/>
  </cols>
  <sheetData>
    <row r="3" spans="1:6" s="118" customFormat="1" ht="12" customHeight="1">
      <c r="A3" s="117" t="s">
        <v>1534</v>
      </c>
      <c r="D3" s="698"/>
    </row>
    <row r="4" spans="1:6" s="109" customFormat="1" ht="12" customHeight="1">
      <c r="A4" s="119" t="s">
        <v>308</v>
      </c>
    </row>
    <row r="5" spans="1:6" s="109" customFormat="1" ht="12" customHeight="1">
      <c r="B5" s="109">
        <v>2017</v>
      </c>
      <c r="C5" s="331" t="s">
        <v>2036</v>
      </c>
      <c r="E5" s="331" t="s">
        <v>2036</v>
      </c>
      <c r="F5" s="109">
        <v>2017</v>
      </c>
    </row>
    <row r="6" spans="1:6" s="109" customFormat="1" ht="12" customHeight="1">
      <c r="B6" s="109" t="s">
        <v>1078</v>
      </c>
      <c r="C6" s="109" t="s">
        <v>1079</v>
      </c>
      <c r="D6" s="109" t="s">
        <v>310</v>
      </c>
      <c r="E6" s="109" t="s">
        <v>1080</v>
      </c>
      <c r="F6" s="109" t="s">
        <v>311</v>
      </c>
    </row>
    <row r="7" spans="1:6" s="109" customFormat="1" ht="12" customHeight="1">
      <c r="A7" s="109" t="s">
        <v>312</v>
      </c>
      <c r="B7" s="979">
        <v>69471442</v>
      </c>
      <c r="C7" s="332">
        <f>(G23-F23)/F23</f>
        <v>5.3664920731446984E-2</v>
      </c>
      <c r="D7" s="979">
        <v>8849182</v>
      </c>
      <c r="E7" s="981">
        <v>0.1</v>
      </c>
      <c r="F7" s="979">
        <f>B7-D7</f>
        <v>60622260</v>
      </c>
    </row>
    <row r="8" spans="1:6" s="109" customFormat="1" ht="12" customHeight="1">
      <c r="A8" s="109" t="s">
        <v>1081</v>
      </c>
      <c r="B8" s="979">
        <v>32042475</v>
      </c>
      <c r="C8" s="332">
        <f t="shared" ref="C8:C16" si="0">(G24-F24)/F24</f>
        <v>2.5757522161005561E-2</v>
      </c>
      <c r="D8" s="979">
        <v>12124914</v>
      </c>
      <c r="E8" s="332">
        <v>7.9000000000000001E-2</v>
      </c>
      <c r="F8" s="979">
        <f t="shared" ref="F8:F18" si="1">B8-D8</f>
        <v>19917561</v>
      </c>
    </row>
    <row r="9" spans="1:6" s="109" customFormat="1" ht="12" customHeight="1">
      <c r="A9" s="109" t="s">
        <v>1082</v>
      </c>
      <c r="B9" s="979">
        <v>13304782</v>
      </c>
      <c r="C9" s="332">
        <f t="shared" si="0"/>
        <v>7.0598282331491471E-2</v>
      </c>
      <c r="D9" s="979">
        <v>124914</v>
      </c>
      <c r="E9" s="332">
        <v>0.11600000000000001</v>
      </c>
      <c r="F9" s="979">
        <f t="shared" si="1"/>
        <v>13179868</v>
      </c>
    </row>
    <row r="10" spans="1:6" s="109" customFormat="1" ht="12" customHeight="1">
      <c r="A10" s="109" t="s">
        <v>1083</v>
      </c>
      <c r="B10" s="979">
        <v>10280192</v>
      </c>
      <c r="C10" s="332">
        <f t="shared" si="0"/>
        <v>7.6093685395022634E-2</v>
      </c>
      <c r="D10" s="979">
        <v>3422790</v>
      </c>
      <c r="E10" s="332">
        <v>0.105</v>
      </c>
      <c r="F10" s="979">
        <f t="shared" si="1"/>
        <v>6857402</v>
      </c>
    </row>
    <row r="11" spans="1:6" s="109" customFormat="1" ht="12" customHeight="1">
      <c r="A11" s="109" t="s">
        <v>326</v>
      </c>
      <c r="B11" s="979">
        <v>9002086</v>
      </c>
      <c r="C11" s="332">
        <f t="shared" si="0"/>
        <v>6.2091654023822385E-2</v>
      </c>
      <c r="D11" s="979">
        <v>2782366</v>
      </c>
      <c r="E11" s="332">
        <v>0.17399999999999999</v>
      </c>
      <c r="F11" s="979">
        <f t="shared" si="1"/>
        <v>6219720</v>
      </c>
    </row>
    <row r="12" spans="1:6" s="109" customFormat="1" ht="12" customHeight="1">
      <c r="A12" s="109" t="s">
        <v>1084</v>
      </c>
      <c r="B12" s="979">
        <v>9264611</v>
      </c>
      <c r="C12" s="332">
        <f t="shared" si="0"/>
        <v>0.14644298808379322</v>
      </c>
      <c r="D12" s="979">
        <v>3799510</v>
      </c>
      <c r="E12" s="332">
        <v>0.46100000000000002</v>
      </c>
      <c r="F12" s="979">
        <f t="shared" si="1"/>
        <v>5465101</v>
      </c>
    </row>
    <row r="13" spans="1:6" s="109" customFormat="1" ht="12" customHeight="1">
      <c r="A13" s="109" t="s">
        <v>318</v>
      </c>
      <c r="B13" s="979">
        <v>7884366</v>
      </c>
      <c r="C13" s="332">
        <f t="shared" si="0"/>
        <v>7.8610413716266939E-2</v>
      </c>
      <c r="D13" s="979">
        <v>277363</v>
      </c>
      <c r="E13" s="980">
        <v>4.8000000000000001E-2</v>
      </c>
      <c r="F13" s="979">
        <f t="shared" si="1"/>
        <v>7607003</v>
      </c>
    </row>
    <row r="14" spans="1:6" s="109" customFormat="1" ht="12" customHeight="1">
      <c r="A14" s="109" t="s">
        <v>1085</v>
      </c>
      <c r="B14" s="979">
        <v>6223414</v>
      </c>
      <c r="C14" s="332">
        <f t="shared" si="0"/>
        <v>7.6795518835401047E-2</v>
      </c>
      <c r="D14" s="979">
        <v>3058389</v>
      </c>
      <c r="E14" s="332">
        <v>0.19400000000000001</v>
      </c>
      <c r="F14" s="979">
        <f t="shared" si="1"/>
        <v>3165025</v>
      </c>
    </row>
    <row r="15" spans="1:6" s="109" customFormat="1" ht="12" customHeight="1">
      <c r="A15" s="109" t="s">
        <v>1086</v>
      </c>
      <c r="B15" s="979">
        <v>5489087</v>
      </c>
      <c r="C15" s="332">
        <f t="shared" si="0"/>
        <v>0.148592781661811</v>
      </c>
      <c r="D15" s="979">
        <v>2947537</v>
      </c>
      <c r="E15" s="332">
        <v>0.248</v>
      </c>
      <c r="F15" s="979">
        <f t="shared" si="1"/>
        <v>2541550</v>
      </c>
    </row>
    <row r="16" spans="1:6" s="109" customFormat="1" ht="12" customHeight="1">
      <c r="A16" s="116" t="s">
        <v>2037</v>
      </c>
      <c r="B16" s="979">
        <v>3647522</v>
      </c>
      <c r="C16" s="332">
        <f t="shared" si="0"/>
        <v>-8.763046993188349E-2</v>
      </c>
      <c r="D16" s="979">
        <v>3474570</v>
      </c>
      <c r="E16" s="332">
        <v>-0.122</v>
      </c>
      <c r="F16" s="979">
        <f>B16-D15</f>
        <v>699985</v>
      </c>
    </row>
    <row r="17" spans="1:7" s="109" customFormat="1" ht="12" customHeight="1">
      <c r="A17" s="109" t="s">
        <v>1087</v>
      </c>
      <c r="B17" s="979">
        <v>1905608</v>
      </c>
      <c r="C17" s="332">
        <v>7.2999999999999996E-4</v>
      </c>
      <c r="D17" s="979">
        <v>852334</v>
      </c>
      <c r="E17" s="332">
        <v>0.28999999999999998</v>
      </c>
      <c r="F17" s="979">
        <f t="shared" si="1"/>
        <v>1053274</v>
      </c>
    </row>
    <row r="18" spans="1:7" s="109" customFormat="1" ht="12" customHeight="1">
      <c r="A18" s="109" t="s">
        <v>1088</v>
      </c>
      <c r="B18" s="979">
        <v>1849410</v>
      </c>
      <c r="C18" s="332">
        <v>0.107</v>
      </c>
      <c r="D18" s="979">
        <v>679148</v>
      </c>
      <c r="E18" s="332">
        <v>0.17699999999999999</v>
      </c>
      <c r="F18" s="979">
        <f t="shared" si="1"/>
        <v>1170262</v>
      </c>
    </row>
    <row r="19" spans="1:7" s="109" customFormat="1" ht="12" customHeight="1"/>
    <row r="20" spans="1:7" s="109" customFormat="1" ht="12" customHeight="1"/>
    <row r="21" spans="1:7" s="109" customFormat="1" ht="12" customHeight="1"/>
    <row r="22" spans="1:7" s="976" customFormat="1" ht="12" customHeight="1">
      <c r="B22" s="976">
        <v>2012</v>
      </c>
      <c r="C22" s="976">
        <v>2013</v>
      </c>
      <c r="D22" s="976">
        <v>2014</v>
      </c>
      <c r="E22" s="976">
        <v>2015</v>
      </c>
      <c r="F22" s="976">
        <v>2016</v>
      </c>
      <c r="G22" s="978" t="s">
        <v>2035</v>
      </c>
    </row>
    <row r="23" spans="1:7" s="109" customFormat="1" ht="12" customHeight="1">
      <c r="A23" s="109" t="s">
        <v>312</v>
      </c>
      <c r="B23" s="109">
        <v>61556202</v>
      </c>
      <c r="C23" s="109">
        <v>62052917</v>
      </c>
      <c r="D23" s="109">
        <v>63813756</v>
      </c>
      <c r="E23" s="109">
        <v>65766986</v>
      </c>
      <c r="F23" s="977">
        <v>65933145</v>
      </c>
      <c r="G23" s="979">
        <v>69471442</v>
      </c>
    </row>
    <row r="24" spans="1:7" s="109" customFormat="1" ht="12" customHeight="1">
      <c r="A24" s="109" t="s">
        <v>1081</v>
      </c>
      <c r="B24" s="109">
        <v>27232263</v>
      </c>
      <c r="C24" s="109">
        <v>28274154</v>
      </c>
      <c r="D24" s="109">
        <v>28862586</v>
      </c>
      <c r="E24" s="109">
        <v>29664993</v>
      </c>
      <c r="F24" s="977">
        <v>31237865</v>
      </c>
      <c r="G24" s="979">
        <v>32042475</v>
      </c>
    </row>
    <row r="25" spans="1:7" s="109" customFormat="1" ht="12" customHeight="1">
      <c r="A25" s="109" t="s">
        <v>1082</v>
      </c>
      <c r="B25" s="109">
        <v>11189896</v>
      </c>
      <c r="C25" s="109">
        <v>11554251</v>
      </c>
      <c r="D25" s="109">
        <v>11660208</v>
      </c>
      <c r="E25" s="109">
        <v>12016730</v>
      </c>
      <c r="F25" s="977">
        <v>12427427</v>
      </c>
      <c r="G25" s="979">
        <v>13304782</v>
      </c>
    </row>
    <row r="26" spans="1:7" s="109" customFormat="1" ht="12" customHeight="1">
      <c r="A26" s="109" t="s">
        <v>1083</v>
      </c>
      <c r="B26" s="109">
        <v>8451039</v>
      </c>
      <c r="C26" s="109">
        <v>8562298</v>
      </c>
      <c r="D26" s="109">
        <v>8467093</v>
      </c>
      <c r="E26" s="109">
        <v>8703354</v>
      </c>
      <c r="F26" s="977">
        <v>9553250</v>
      </c>
      <c r="G26" s="979">
        <v>10280192</v>
      </c>
    </row>
    <row r="27" spans="1:7" s="109" customFormat="1" ht="12" customHeight="1">
      <c r="A27" s="109" t="s">
        <v>326</v>
      </c>
      <c r="B27" s="109">
        <v>8295479</v>
      </c>
      <c r="C27" s="109">
        <v>8260619</v>
      </c>
      <c r="D27" s="109">
        <v>8182237</v>
      </c>
      <c r="E27" s="109">
        <v>8261804</v>
      </c>
      <c r="F27" s="977">
        <v>8475809</v>
      </c>
      <c r="G27" s="979">
        <v>9002086</v>
      </c>
    </row>
    <row r="28" spans="1:7" s="109" customFormat="1" ht="12" customHeight="1">
      <c r="A28" s="109" t="s">
        <v>1084</v>
      </c>
      <c r="B28" s="109">
        <v>7559350</v>
      </c>
      <c r="C28" s="109">
        <v>7567634</v>
      </c>
      <c r="D28" s="109">
        <v>7517736</v>
      </c>
      <c r="E28" s="109">
        <v>7669054</v>
      </c>
      <c r="F28" s="977">
        <v>8081179</v>
      </c>
      <c r="G28" s="979">
        <v>9264611</v>
      </c>
    </row>
    <row r="29" spans="1:7" s="109" customFormat="1" ht="12" customHeight="1">
      <c r="A29" s="109" t="s">
        <v>318</v>
      </c>
      <c r="B29" s="109">
        <v>5349872</v>
      </c>
      <c r="C29" s="109">
        <v>5876129</v>
      </c>
      <c r="D29" s="109">
        <v>6519393</v>
      </c>
      <c r="E29" s="109">
        <v>7056114</v>
      </c>
      <c r="F29" s="977">
        <v>7309744</v>
      </c>
      <c r="G29" s="979">
        <v>7884366</v>
      </c>
    </row>
    <row r="30" spans="1:7" s="109" customFormat="1" ht="12" customHeight="1">
      <c r="A30" s="109" t="s">
        <v>1085</v>
      </c>
      <c r="B30" s="109">
        <v>4428072</v>
      </c>
      <c r="C30" s="109">
        <v>4617608</v>
      </c>
      <c r="D30" s="109">
        <v>4945029</v>
      </c>
      <c r="E30" s="109">
        <v>5323294</v>
      </c>
      <c r="F30" s="977">
        <v>5779569</v>
      </c>
      <c r="G30" s="979">
        <v>6223414</v>
      </c>
    </row>
    <row r="31" spans="1:7" s="109" customFormat="1" ht="12" customHeight="1">
      <c r="A31" s="109" t="s">
        <v>1086</v>
      </c>
      <c r="B31" s="109">
        <v>3631693</v>
      </c>
      <c r="C31" s="109">
        <v>3930849</v>
      </c>
      <c r="D31" s="109">
        <v>4157284</v>
      </c>
      <c r="E31" s="109">
        <v>4394996</v>
      </c>
      <c r="F31" s="977">
        <v>4778967</v>
      </c>
      <c r="G31" s="979">
        <v>5489087</v>
      </c>
    </row>
    <row r="32" spans="1:7" s="109" customFormat="1" ht="12" customHeight="1">
      <c r="A32" s="116" t="s">
        <v>2037</v>
      </c>
      <c r="B32" s="109">
        <v>3862562</v>
      </c>
      <c r="C32" s="109">
        <v>3952908</v>
      </c>
      <c r="D32" s="109">
        <v>4024201</v>
      </c>
      <c r="E32" s="109">
        <v>4330019</v>
      </c>
      <c r="F32" s="977">
        <v>3997856</v>
      </c>
      <c r="G32" s="979">
        <v>3647522</v>
      </c>
    </row>
    <row r="33" spans="1:12" s="109" customFormat="1" ht="12" customHeight="1"/>
    <row r="34" spans="1:12" s="109" customFormat="1" ht="12" customHeight="1">
      <c r="B34" s="109">
        <v>2012</v>
      </c>
      <c r="C34" s="109">
        <v>2013</v>
      </c>
      <c r="D34" s="109">
        <v>2014</v>
      </c>
      <c r="E34" s="109">
        <v>2015</v>
      </c>
      <c r="F34" s="109">
        <v>2016</v>
      </c>
      <c r="G34" s="109">
        <v>2017</v>
      </c>
    </row>
    <row r="35" spans="1:12" s="109" customFormat="1" ht="12" customHeight="1">
      <c r="A35" s="109" t="s">
        <v>324</v>
      </c>
      <c r="B35" s="597">
        <v>100</v>
      </c>
      <c r="C35" s="597">
        <f t="shared" ref="C35:G44" si="2">(C23/$B23)*100</f>
        <v>100.80692925141807</v>
      </c>
      <c r="D35" s="597">
        <f t="shared" si="2"/>
        <v>103.66746798316116</v>
      </c>
      <c r="E35" s="597">
        <f t="shared" si="2"/>
        <v>106.84055198857136</v>
      </c>
      <c r="F35" s="597">
        <f>(F23/$B23)*100</f>
        <v>107.11048254731506</v>
      </c>
      <c r="G35" s="597">
        <f>(G23/$B23)*100</f>
        <v>112.85855810272376</v>
      </c>
    </row>
    <row r="36" spans="1:12" s="109" customFormat="1" ht="12" customHeight="1">
      <c r="A36" s="109" t="s">
        <v>325</v>
      </c>
      <c r="B36" s="597">
        <v>100</v>
      </c>
      <c r="C36" s="597">
        <f t="shared" si="2"/>
        <v>103.82594351413248</v>
      </c>
      <c r="D36" s="597">
        <f t="shared" si="2"/>
        <v>105.98673345656218</v>
      </c>
      <c r="E36" s="597">
        <f t="shared" si="2"/>
        <v>108.93326419475311</v>
      </c>
      <c r="F36" s="597">
        <f t="shared" si="2"/>
        <v>114.70903097550138</v>
      </c>
      <c r="G36" s="597">
        <f t="shared" si="2"/>
        <v>117.66365138292032</v>
      </c>
    </row>
    <row r="37" spans="1:12" s="109" customFormat="1" ht="12" customHeight="1">
      <c r="A37" s="109" t="s">
        <v>314</v>
      </c>
      <c r="B37" s="597">
        <v>100</v>
      </c>
      <c r="C37" s="597">
        <f t="shared" si="2"/>
        <v>103.25610711663451</v>
      </c>
      <c r="D37" s="597">
        <f t="shared" si="2"/>
        <v>104.2030059975535</v>
      </c>
      <c r="E37" s="597">
        <f t="shared" si="2"/>
        <v>107.38911246360109</v>
      </c>
      <c r="F37" s="597">
        <f t="shared" si="2"/>
        <v>111.0593610521492</v>
      </c>
      <c r="G37" s="597">
        <f t="shared" si="2"/>
        <v>118.89996117926387</v>
      </c>
    </row>
    <row r="38" spans="1:12" s="109" customFormat="1" ht="12" customHeight="1">
      <c r="A38" s="109" t="s">
        <v>315</v>
      </c>
      <c r="B38" s="597">
        <v>100</v>
      </c>
      <c r="C38" s="597">
        <f t="shared" si="2"/>
        <v>101.31651267968354</v>
      </c>
      <c r="D38" s="597">
        <f t="shared" si="2"/>
        <v>100.18996480787747</v>
      </c>
      <c r="E38" s="597">
        <f t="shared" si="2"/>
        <v>102.98560922509054</v>
      </c>
      <c r="F38" s="597">
        <f t="shared" si="2"/>
        <v>113.04231349541753</v>
      </c>
      <c r="G38" s="597">
        <f t="shared" si="2"/>
        <v>121.64411973486338</v>
      </c>
    </row>
    <row r="39" spans="1:12" s="109" customFormat="1" ht="12" customHeight="1">
      <c r="A39" s="109" t="s">
        <v>326</v>
      </c>
      <c r="B39" s="597">
        <v>100</v>
      </c>
      <c r="C39" s="597">
        <f t="shared" si="2"/>
        <v>99.579771101825472</v>
      </c>
      <c r="D39" s="597">
        <f t="shared" si="2"/>
        <v>98.634894983158887</v>
      </c>
      <c r="E39" s="597">
        <f t="shared" si="2"/>
        <v>99.594055991221239</v>
      </c>
      <c r="F39" s="597">
        <f t="shared" si="2"/>
        <v>102.17383468754487</v>
      </c>
      <c r="G39" s="597">
        <f t="shared" si="2"/>
        <v>108.51797708125113</v>
      </c>
    </row>
    <row r="40" spans="1:12" s="109" customFormat="1" ht="12" customHeight="1">
      <c r="A40" s="109" t="s">
        <v>327</v>
      </c>
      <c r="B40" s="597">
        <v>100</v>
      </c>
      <c r="C40" s="597">
        <f t="shared" si="2"/>
        <v>100.10958614166563</v>
      </c>
      <c r="D40" s="597">
        <f t="shared" si="2"/>
        <v>99.449502933453275</v>
      </c>
      <c r="E40" s="597">
        <f t="shared" si="2"/>
        <v>101.45123588668339</v>
      </c>
      <c r="F40" s="597">
        <f t="shared" si="2"/>
        <v>106.90309351994549</v>
      </c>
      <c r="G40" s="597">
        <f t="shared" si="2"/>
        <v>122.55830197040751</v>
      </c>
    </row>
    <row r="41" spans="1:12" s="109" customFormat="1" ht="12" customHeight="1">
      <c r="A41" s="109" t="s">
        <v>328</v>
      </c>
      <c r="B41" s="597">
        <v>100</v>
      </c>
      <c r="C41" s="597">
        <f t="shared" si="2"/>
        <v>109.83681478734444</v>
      </c>
      <c r="D41" s="597">
        <f t="shared" si="2"/>
        <v>121.86072863051676</v>
      </c>
      <c r="E41" s="597">
        <f t="shared" si="2"/>
        <v>131.89313688252727</v>
      </c>
      <c r="F41" s="597">
        <f t="shared" si="2"/>
        <v>136.63399797228794</v>
      </c>
      <c r="G41" s="597">
        <f t="shared" si="2"/>
        <v>147.37485308059709</v>
      </c>
    </row>
    <row r="42" spans="1:12" s="109" customFormat="1" ht="12" customHeight="1">
      <c r="A42" s="109" t="s">
        <v>1085</v>
      </c>
      <c r="B42" s="597">
        <v>100</v>
      </c>
      <c r="C42" s="597">
        <f t="shared" si="2"/>
        <v>104.28032787181418</v>
      </c>
      <c r="D42" s="597">
        <f t="shared" si="2"/>
        <v>111.67453916738481</v>
      </c>
      <c r="E42" s="597">
        <f t="shared" si="2"/>
        <v>120.21697027509941</v>
      </c>
      <c r="F42" s="597">
        <f t="shared" si="2"/>
        <v>130.52111618781265</v>
      </c>
      <c r="G42" s="597">
        <f t="shared" si="2"/>
        <v>140.54455302443139</v>
      </c>
    </row>
    <row r="43" spans="1:12" s="109" customFormat="1" ht="12" customHeight="1">
      <c r="A43" s="109" t="s">
        <v>330</v>
      </c>
      <c r="B43" s="597">
        <v>100</v>
      </c>
      <c r="C43" s="597">
        <f t="shared" si="2"/>
        <v>108.23737028432745</v>
      </c>
      <c r="D43" s="597">
        <f t="shared" si="2"/>
        <v>114.47234113676458</v>
      </c>
      <c r="E43" s="597">
        <f t="shared" si="2"/>
        <v>121.01782832414526</v>
      </c>
      <c r="F43" s="597">
        <f t="shared" si="2"/>
        <v>131.59061077023858</v>
      </c>
      <c r="G43" s="597">
        <f t="shared" si="2"/>
        <v>151.14402566516497</v>
      </c>
    </row>
    <row r="44" spans="1:12" s="109" customFormat="1" ht="12" customHeight="1">
      <c r="A44" s="116" t="s">
        <v>2037</v>
      </c>
      <c r="B44" s="597">
        <v>100</v>
      </c>
      <c r="C44" s="597">
        <f t="shared" si="2"/>
        <v>102.33901747078752</v>
      </c>
      <c r="D44" s="597">
        <f t="shared" si="2"/>
        <v>104.18476130609685</v>
      </c>
      <c r="E44" s="597">
        <f t="shared" si="2"/>
        <v>112.10225233925048</v>
      </c>
      <c r="F44" s="597">
        <f t="shared" si="2"/>
        <v>103.50270105696686</v>
      </c>
      <c r="G44" s="597">
        <f t="shared" si="2"/>
        <v>94.432710724125585</v>
      </c>
    </row>
    <row r="45" spans="1:12" s="109" customFormat="1" ht="12" customHeight="1"/>
    <row r="47" spans="1:12" s="371" customFormat="1" ht="15">
      <c r="A47" s="370" t="s">
        <v>1151</v>
      </c>
      <c r="F47" s="370" t="s">
        <v>1344</v>
      </c>
      <c r="L47" s="699"/>
    </row>
    <row r="48" spans="1:12">
      <c r="A48" s="113"/>
      <c r="B48" s="121">
        <v>2014</v>
      </c>
      <c r="C48" s="121">
        <v>2015</v>
      </c>
      <c r="D48" s="122" t="s">
        <v>1763</v>
      </c>
    </row>
    <row r="49" spans="1:4">
      <c r="A49" s="114" t="s">
        <v>332</v>
      </c>
      <c r="B49" s="114" t="s">
        <v>1089</v>
      </c>
      <c r="C49" s="114" t="s">
        <v>1090</v>
      </c>
      <c r="D49" s="114" t="s">
        <v>1091</v>
      </c>
    </row>
    <row r="50" spans="1:4">
      <c r="A50" s="120" t="s">
        <v>1</v>
      </c>
      <c r="B50" s="652">
        <v>78520233</v>
      </c>
      <c r="C50" s="653">
        <v>81730583</v>
      </c>
      <c r="D50" s="115">
        <f t="shared" ref="D50:D61" si="3">(C50-B50)/B50</f>
        <v>4.0885640265484184E-2</v>
      </c>
    </row>
    <row r="51" spans="1:4">
      <c r="A51" s="120" t="s">
        <v>1153</v>
      </c>
      <c r="B51" s="652">
        <v>66887424</v>
      </c>
      <c r="C51" s="653">
        <v>68316557</v>
      </c>
      <c r="D51" s="115">
        <f t="shared" si="3"/>
        <v>2.1366243675343215E-2</v>
      </c>
    </row>
    <row r="52" spans="1:4">
      <c r="A52" s="120" t="s">
        <v>333</v>
      </c>
      <c r="B52" s="652">
        <v>47100000</v>
      </c>
      <c r="C52" s="653">
        <v>46591693</v>
      </c>
      <c r="D52" s="115">
        <f t="shared" si="3"/>
        <v>-1.079208067940552E-2</v>
      </c>
    </row>
    <row r="53" spans="1:4">
      <c r="A53" s="120" t="s">
        <v>334</v>
      </c>
      <c r="B53" s="652">
        <v>43273341</v>
      </c>
      <c r="C53" s="653">
        <v>41873115</v>
      </c>
      <c r="D53" s="115">
        <f t="shared" si="3"/>
        <v>-3.235770494355867E-2</v>
      </c>
    </row>
    <row r="54" spans="1:4">
      <c r="A54" s="120" t="s">
        <v>335</v>
      </c>
      <c r="B54" s="652">
        <v>26499284</v>
      </c>
      <c r="C54" s="653">
        <v>25386444</v>
      </c>
      <c r="D54" s="115">
        <f t="shared" si="3"/>
        <v>-4.1995096924128214E-2</v>
      </c>
    </row>
    <row r="55" spans="1:4">
      <c r="A55" s="120" t="s">
        <v>110</v>
      </c>
      <c r="B55" s="652">
        <v>21671000</v>
      </c>
      <c r="C55" s="653">
        <v>22519532</v>
      </c>
      <c r="D55" s="115">
        <f t="shared" si="3"/>
        <v>3.9155184347745835E-2</v>
      </c>
    </row>
    <row r="56" spans="1:4">
      <c r="A56" s="120" t="s">
        <v>336</v>
      </c>
      <c r="B56" s="652">
        <v>9401419</v>
      </c>
      <c r="C56" s="653">
        <v>9809943</v>
      </c>
      <c r="D56" s="115">
        <f t="shared" si="3"/>
        <v>4.3453440379585255E-2</v>
      </c>
    </row>
    <row r="57" spans="1:4">
      <c r="A57" s="120" t="s">
        <v>2</v>
      </c>
      <c r="B57" s="652">
        <v>8527990</v>
      </c>
      <c r="C57" s="653">
        <v>8385070</v>
      </c>
      <c r="D57" s="115">
        <f t="shared" si="3"/>
        <v>-1.6758931471542532E-2</v>
      </c>
    </row>
    <row r="58" spans="1:4">
      <c r="A58" s="120" t="s">
        <v>337</v>
      </c>
      <c r="B58" s="652">
        <v>3270893</v>
      </c>
      <c r="C58" s="653">
        <v>3751421</v>
      </c>
      <c r="D58" s="115">
        <f t="shared" si="3"/>
        <v>0.1469103391642588</v>
      </c>
    </row>
    <row r="59" spans="1:4">
      <c r="A59" s="120" t="s">
        <v>338</v>
      </c>
      <c r="B59" s="652">
        <v>3122986</v>
      </c>
      <c r="C59" s="653">
        <v>3296800</v>
      </c>
      <c r="D59" s="115">
        <f t="shared" si="3"/>
        <v>5.5656349404063929E-2</v>
      </c>
    </row>
    <row r="60" spans="1:4">
      <c r="A60" s="120" t="s">
        <v>340</v>
      </c>
      <c r="B60" s="652">
        <v>3056503</v>
      </c>
      <c r="C60" s="653">
        <v>3093996</v>
      </c>
      <c r="D60" s="115">
        <f t="shared" si="3"/>
        <v>1.2266632815344857E-2</v>
      </c>
    </row>
    <row r="61" spans="1:4">
      <c r="A61" s="120" t="s">
        <v>339</v>
      </c>
      <c r="B61" s="652">
        <v>2602433</v>
      </c>
      <c r="C61" s="653">
        <v>2323580</v>
      </c>
      <c r="D61" s="115">
        <f t="shared" si="3"/>
        <v>-0.10715088534459868</v>
      </c>
    </row>
    <row r="67" spans="1:6">
      <c r="B67" s="116">
        <v>2015</v>
      </c>
    </row>
    <row r="68" spans="1:6">
      <c r="A68" s="116" t="s">
        <v>1471</v>
      </c>
      <c r="B68" s="116" t="s">
        <v>1152</v>
      </c>
    </row>
    <row r="69" spans="1:6">
      <c r="A69" s="116" t="s">
        <v>1</v>
      </c>
      <c r="B69" s="654">
        <v>81730583</v>
      </c>
      <c r="E69" s="120"/>
      <c r="F69" s="652"/>
    </row>
    <row r="70" spans="1:6">
      <c r="A70" s="116" t="s">
        <v>1153</v>
      </c>
      <c r="B70" s="654">
        <v>68316557</v>
      </c>
      <c r="E70" s="120"/>
      <c r="F70" s="652"/>
    </row>
    <row r="71" spans="1:6">
      <c r="A71" s="116" t="s">
        <v>333</v>
      </c>
      <c r="B71" s="654">
        <v>46591693</v>
      </c>
      <c r="E71" s="120"/>
      <c r="F71" s="652"/>
    </row>
    <row r="72" spans="1:6">
      <c r="A72" s="116" t="s">
        <v>334</v>
      </c>
      <c r="B72" s="654">
        <v>41873115</v>
      </c>
      <c r="E72" s="120"/>
      <c r="F72" s="652"/>
    </row>
    <row r="73" spans="1:6">
      <c r="A73" s="116" t="s">
        <v>1165</v>
      </c>
      <c r="B73" s="654">
        <v>25386444</v>
      </c>
      <c r="E73" s="120"/>
      <c r="F73" s="652"/>
    </row>
    <row r="74" spans="1:6">
      <c r="A74" s="116" t="s">
        <v>110</v>
      </c>
      <c r="B74" s="654">
        <v>22519532</v>
      </c>
      <c r="E74" s="120"/>
      <c r="F74" s="652"/>
    </row>
    <row r="75" spans="1:6">
      <c r="A75" s="116" t="s">
        <v>336</v>
      </c>
      <c r="B75" s="654">
        <v>9809943</v>
      </c>
      <c r="E75" s="120"/>
      <c r="F75" s="652"/>
    </row>
    <row r="76" spans="1:6">
      <c r="A76" s="116" t="s">
        <v>2</v>
      </c>
      <c r="B76" s="654">
        <v>8385070</v>
      </c>
      <c r="E76" s="120"/>
      <c r="F76" s="652"/>
    </row>
    <row r="77" spans="1:6">
      <c r="A77" s="116" t="s">
        <v>337</v>
      </c>
      <c r="B77" s="654">
        <v>3751421</v>
      </c>
      <c r="E77" s="120"/>
      <c r="F77" s="652"/>
    </row>
    <row r="78" spans="1:6">
      <c r="A78" s="116" t="s">
        <v>1164</v>
      </c>
      <c r="B78" s="654">
        <v>3296800</v>
      </c>
      <c r="E78" s="120"/>
      <c r="F78" s="652"/>
    </row>
    <row r="79" spans="1:6">
      <c r="A79" s="116" t="s">
        <v>340</v>
      </c>
      <c r="B79" s="654">
        <v>3093996</v>
      </c>
      <c r="E79" s="120"/>
      <c r="F79" s="652"/>
    </row>
    <row r="80" spans="1:6">
      <c r="A80" s="116" t="s">
        <v>339</v>
      </c>
      <c r="B80" s="654">
        <v>2323580</v>
      </c>
      <c r="E80" s="120"/>
      <c r="F80" s="652"/>
    </row>
    <row r="81" spans="1:4">
      <c r="B81" s="654"/>
    </row>
    <row r="85" spans="1:4" ht="15">
      <c r="A85" s="370" t="s">
        <v>1709</v>
      </c>
      <c r="B85" s="371"/>
      <c r="C85" s="371"/>
      <c r="D85" s="371"/>
    </row>
    <row r="86" spans="1:4">
      <c r="B86" s="116" t="s">
        <v>1764</v>
      </c>
      <c r="C86" s="116" t="s">
        <v>1897</v>
      </c>
    </row>
    <row r="87" spans="1:4" ht="12.75">
      <c r="A87" s="836" t="s">
        <v>1695</v>
      </c>
      <c r="B87" s="836" t="s">
        <v>1712</v>
      </c>
      <c r="C87" s="836" t="s">
        <v>1711</v>
      </c>
      <c r="D87" s="836" t="s">
        <v>824</v>
      </c>
    </row>
    <row r="88" spans="1:4" ht="15">
      <c r="A88" s="818" t="s">
        <v>1696</v>
      </c>
      <c r="B88" s="818">
        <v>214220327</v>
      </c>
      <c r="C88" s="929">
        <v>206691760</v>
      </c>
      <c r="D88" s="148">
        <f>(C88-B88)/B88</f>
        <v>-3.5144036541406271E-2</v>
      </c>
    </row>
    <row r="89" spans="1:4" ht="15">
      <c r="A89" s="818" t="s">
        <v>1697</v>
      </c>
      <c r="B89" s="818">
        <v>105324691</v>
      </c>
      <c r="C89" s="929">
        <v>107941079</v>
      </c>
      <c r="D89" s="148">
        <f t="shared" ref="D89:D106" si="4">(C89-B89)/B89</f>
        <v>2.4841164736956124E-2</v>
      </c>
    </row>
    <row r="90" spans="1:4" ht="15">
      <c r="A90" s="818" t="s">
        <v>1698</v>
      </c>
      <c r="B90" s="818">
        <v>101249573</v>
      </c>
      <c r="C90" s="929">
        <v>100422655</v>
      </c>
      <c r="D90" s="148">
        <f t="shared" si="4"/>
        <v>-8.1671258011132546E-3</v>
      </c>
    </row>
    <row r="91" spans="1:4" ht="15">
      <c r="A91" s="818" t="s">
        <v>1710</v>
      </c>
      <c r="B91" s="818">
        <v>53890474</v>
      </c>
      <c r="C91" s="929">
        <v>53593297</v>
      </c>
      <c r="D91" s="148">
        <f t="shared" si="4"/>
        <v>-5.5144625374792585E-3</v>
      </c>
    </row>
    <row r="92" spans="1:4" ht="15">
      <c r="A92" s="818" t="s">
        <v>1699</v>
      </c>
      <c r="B92" s="818">
        <v>33681792</v>
      </c>
      <c r="C92" s="929">
        <v>33163296</v>
      </c>
      <c r="D92" s="148">
        <f t="shared" si="4"/>
        <v>-1.5393955285989533E-2</v>
      </c>
    </row>
    <row r="93" spans="1:4" ht="15">
      <c r="A93" s="818" t="s">
        <v>1700</v>
      </c>
      <c r="B93" s="818">
        <v>31993238</v>
      </c>
      <c r="C93" s="929">
        <v>29876563</v>
      </c>
      <c r="D93" s="148">
        <f t="shared" si="4"/>
        <v>-6.6160074200679528E-2</v>
      </c>
    </row>
    <row r="94" spans="1:4" ht="15">
      <c r="A94" s="818" t="s">
        <v>1701</v>
      </c>
      <c r="B94" s="818">
        <v>23182286</v>
      </c>
      <c r="C94" s="929">
        <v>22826428</v>
      </c>
      <c r="D94" s="148">
        <f t="shared" si="4"/>
        <v>-1.5350427477255695E-2</v>
      </c>
    </row>
    <row r="95" spans="1:4" ht="15">
      <c r="A95" s="818" t="s">
        <v>1702</v>
      </c>
      <c r="B95" s="818">
        <v>18384462</v>
      </c>
      <c r="C95" s="929">
        <v>18023854</v>
      </c>
      <c r="D95" s="148">
        <f t="shared" si="4"/>
        <v>-1.9614824736236502E-2</v>
      </c>
    </row>
    <row r="96" spans="1:4" ht="15">
      <c r="A96" s="818" t="s">
        <v>465</v>
      </c>
      <c r="B96" s="818">
        <v>18053898</v>
      </c>
      <c r="C96" s="929">
        <v>18336028</v>
      </c>
      <c r="D96" s="148">
        <f t="shared" si="4"/>
        <v>1.5627096153971846E-2</v>
      </c>
    </row>
    <row r="97" spans="1:4" ht="15">
      <c r="A97" s="818" t="s">
        <v>1703</v>
      </c>
      <c r="B97" s="818">
        <v>12351081</v>
      </c>
      <c r="C97" s="929">
        <v>12206077</v>
      </c>
      <c r="D97" s="148">
        <f t="shared" si="4"/>
        <v>-1.1740186952057072E-2</v>
      </c>
    </row>
    <row r="98" spans="1:4" ht="15">
      <c r="A98" s="818" t="s">
        <v>1704</v>
      </c>
      <c r="B98" s="818">
        <v>11975482</v>
      </c>
      <c r="C98" s="929">
        <v>12253951</v>
      </c>
      <c r="D98" s="148">
        <f t="shared" si="4"/>
        <v>2.3253260286308308E-2</v>
      </c>
    </row>
    <row r="99" spans="1:4" ht="15">
      <c r="A99" s="818" t="s">
        <v>1705</v>
      </c>
      <c r="B99" s="818">
        <v>10920487</v>
      </c>
      <c r="C99" s="929">
        <v>10748798</v>
      </c>
      <c r="D99" s="148">
        <f t="shared" si="4"/>
        <v>-1.5721734754136879E-2</v>
      </c>
    </row>
    <row r="100" spans="1:4" ht="15">
      <c r="A100" s="818" t="s">
        <v>466</v>
      </c>
      <c r="B100" s="818">
        <v>10592389</v>
      </c>
      <c r="C100" s="929">
        <v>11009424</v>
      </c>
      <c r="D100" s="148">
        <f t="shared" si="4"/>
        <v>3.9371193788294595E-2</v>
      </c>
    </row>
    <row r="101" spans="1:4" ht="15">
      <c r="A101" s="818" t="s">
        <v>1706</v>
      </c>
      <c r="B101" s="818">
        <v>9961154</v>
      </c>
      <c r="C101" s="929">
        <v>10035656</v>
      </c>
      <c r="D101" s="148">
        <f t="shared" si="4"/>
        <v>7.4792539097377677E-3</v>
      </c>
    </row>
    <row r="102" spans="1:4" ht="15">
      <c r="A102" s="818" t="s">
        <v>469</v>
      </c>
      <c r="B102" s="818">
        <v>9252974</v>
      </c>
      <c r="C102" s="929">
        <v>9531299</v>
      </c>
      <c r="D102" s="148">
        <f t="shared" si="4"/>
        <v>3.0079518217602255E-2</v>
      </c>
    </row>
    <row r="103" spans="1:4" ht="15">
      <c r="A103" s="818" t="s">
        <v>1707</v>
      </c>
      <c r="B103" s="818">
        <v>8008942</v>
      </c>
      <c r="C103" s="929">
        <v>8222823</v>
      </c>
      <c r="D103" s="148">
        <f t="shared" si="4"/>
        <v>2.6705275178669042E-2</v>
      </c>
    </row>
    <row r="104" spans="1:4" ht="15">
      <c r="A104" s="818" t="s">
        <v>885</v>
      </c>
      <c r="B104" s="818">
        <v>7896116</v>
      </c>
      <c r="C104" s="929">
        <v>7670652</v>
      </c>
      <c r="D104" s="148">
        <f t="shared" si="4"/>
        <v>-2.8553785177421406E-2</v>
      </c>
    </row>
    <row r="105" spans="1:4" ht="15">
      <c r="A105" s="818" t="s">
        <v>470</v>
      </c>
      <c r="B105" s="818">
        <v>7530317</v>
      </c>
      <c r="C105" s="929">
        <v>7256999</v>
      </c>
      <c r="D105" s="148">
        <f t="shared" si="4"/>
        <v>-3.6295683169778908E-2</v>
      </c>
    </row>
    <row r="106" spans="1:4" ht="15">
      <c r="A106" s="818" t="s">
        <v>1708</v>
      </c>
      <c r="B106" s="818">
        <v>7447028</v>
      </c>
      <c r="C106" s="929">
        <v>7133768</v>
      </c>
      <c r="D106" s="148">
        <f t="shared" si="4"/>
        <v>-4.2065103018277893E-2</v>
      </c>
    </row>
    <row r="110" spans="1:4" ht="12.75">
      <c r="A110" s="836" t="s">
        <v>1695</v>
      </c>
      <c r="B110" s="836" t="s">
        <v>1897</v>
      </c>
      <c r="C110" s="836" t="s">
        <v>1898</v>
      </c>
    </row>
    <row r="111" spans="1:4" ht="15">
      <c r="A111" s="818" t="s">
        <v>1700</v>
      </c>
      <c r="B111" s="929">
        <v>29876563</v>
      </c>
      <c r="C111" s="871">
        <v>-6.6160074200679528E-2</v>
      </c>
    </row>
    <row r="112" spans="1:4" ht="15">
      <c r="A112" s="818" t="s">
        <v>1702</v>
      </c>
      <c r="B112" s="929">
        <v>18023854</v>
      </c>
      <c r="C112" s="871">
        <v>-1.9614824736236502E-2</v>
      </c>
    </row>
    <row r="113" spans="1:3" ht="15">
      <c r="A113" s="818" t="s">
        <v>465</v>
      </c>
      <c r="B113" s="929">
        <v>18336028</v>
      </c>
      <c r="C113" s="871">
        <v>1.5627096153971846E-2</v>
      </c>
    </row>
    <row r="114" spans="1:3" ht="15">
      <c r="A114" s="818" t="s">
        <v>1703</v>
      </c>
      <c r="B114" s="929">
        <v>12206077</v>
      </c>
      <c r="C114" s="871">
        <v>-1.1740186952057072E-2</v>
      </c>
    </row>
    <row r="115" spans="1:3" ht="15">
      <c r="A115" s="818" t="s">
        <v>1704</v>
      </c>
      <c r="B115" s="929">
        <v>12253951</v>
      </c>
      <c r="C115" s="871">
        <v>2.3253260286308308E-2</v>
      </c>
    </row>
    <row r="116" spans="1:3" ht="15">
      <c r="A116" s="818" t="s">
        <v>466</v>
      </c>
      <c r="B116" s="929">
        <v>11009424</v>
      </c>
      <c r="C116" s="871">
        <v>3.9371193788294595E-2</v>
      </c>
    </row>
    <row r="117" spans="1:3" ht="15">
      <c r="A117" s="818" t="s">
        <v>1706</v>
      </c>
      <c r="B117" s="929">
        <v>10035656</v>
      </c>
      <c r="C117" s="871">
        <v>7.4792539097377677E-3</v>
      </c>
    </row>
    <row r="118" spans="1:3" ht="15">
      <c r="A118" s="818" t="s">
        <v>469</v>
      </c>
      <c r="B118" s="929">
        <v>9531299</v>
      </c>
      <c r="C118" s="871">
        <v>3.0079518217602255E-2</v>
      </c>
    </row>
    <row r="119" spans="1:3" ht="15">
      <c r="A119" s="818" t="s">
        <v>1707</v>
      </c>
      <c r="B119" s="929">
        <v>8222823</v>
      </c>
      <c r="C119" s="871">
        <v>2.6705275178669042E-2</v>
      </c>
    </row>
    <row r="120" spans="1:3" ht="15">
      <c r="A120" s="818" t="s">
        <v>885</v>
      </c>
      <c r="B120" s="929">
        <v>7670652</v>
      </c>
      <c r="C120" s="871">
        <v>-2.8553785177421406E-2</v>
      </c>
    </row>
    <row r="121" spans="1:3" ht="15">
      <c r="A121" s="818" t="s">
        <v>470</v>
      </c>
      <c r="B121" s="929">
        <v>7256999</v>
      </c>
      <c r="C121" s="871">
        <v>-3.6295683169778908E-2</v>
      </c>
    </row>
    <row r="122" spans="1:3" ht="15">
      <c r="A122" s="818" t="s">
        <v>1708</v>
      </c>
      <c r="B122" s="929">
        <v>7133768</v>
      </c>
      <c r="C122" s="871">
        <v>-4.2065103018277893E-2</v>
      </c>
    </row>
  </sheetData>
  <hyperlinks>
    <hyperlink ref="A47" r:id="rId1" xr:uid="{00000000-0004-0000-0900-000000000000}"/>
    <hyperlink ref="F47" r:id="rId2" xr:uid="{00000000-0004-0000-0900-000001000000}"/>
    <hyperlink ref="A85" r:id="rId3" xr:uid="{00000000-0004-0000-0900-000002000000}"/>
  </hyperlinks>
  <pageMargins left="0.7" right="0.7" top="0.75" bottom="0.75" header="0.3" footer="0.3"/>
  <pageSetup paperSize="9"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MY355"/>
  <sheetViews>
    <sheetView workbookViewId="0">
      <selection activeCell="A4" sqref="A4:XFD4"/>
    </sheetView>
  </sheetViews>
  <sheetFormatPr baseColWidth="10" defaultRowHeight="15"/>
  <cols>
    <col min="1" max="1" width="8.42578125" bestFit="1" customWidth="1"/>
    <col min="2" max="2" width="8.42578125" customWidth="1"/>
    <col min="3" max="3" width="9.28515625" customWidth="1"/>
    <col min="4" max="4" width="10.85546875" style="124" bestFit="1" customWidth="1"/>
    <col min="5" max="5" width="12.42578125" customWidth="1"/>
    <col min="6" max="6" width="66.7109375" style="124" bestFit="1" customWidth="1"/>
    <col min="7" max="7" width="12.7109375" style="124" customWidth="1"/>
    <col min="8" max="8" width="14" style="124" customWidth="1"/>
    <col min="9" max="9" width="12" bestFit="1" customWidth="1"/>
    <col min="10" max="10" width="5.7109375" customWidth="1"/>
    <col min="11" max="11" width="16.7109375" customWidth="1"/>
    <col min="12" max="12" width="15.7109375" customWidth="1"/>
    <col min="13" max="13" width="15.85546875" customWidth="1"/>
    <col min="14" max="14" width="14.5703125" bestFit="1" customWidth="1"/>
    <col min="15" max="15" width="16.28515625" customWidth="1"/>
    <col min="18" max="21" width="0" hidden="1" customWidth="1"/>
  </cols>
  <sheetData>
    <row r="2" spans="1:1039" s="125" customFormat="1">
      <c r="A2" s="126" t="s">
        <v>1657</v>
      </c>
      <c r="D2" s="345"/>
      <c r="F2" s="345"/>
      <c r="G2" s="345"/>
      <c r="H2" s="345"/>
      <c r="X2" s="340" t="s">
        <v>760</v>
      </c>
    </row>
    <row r="3" spans="1:1039">
      <c r="H3" s="124" t="s">
        <v>804</v>
      </c>
      <c r="I3" t="s">
        <v>805</v>
      </c>
      <c r="J3" s="147"/>
      <c r="K3" s="147"/>
      <c r="L3" s="147">
        <v>2017</v>
      </c>
      <c r="M3" s="147"/>
      <c r="N3" t="s">
        <v>1828</v>
      </c>
      <c r="O3" t="s">
        <v>1438</v>
      </c>
    </row>
    <row r="4" spans="1:1039" ht="45">
      <c r="A4" s="715" t="s">
        <v>344</v>
      </c>
      <c r="B4" s="715" t="s">
        <v>1120</v>
      </c>
      <c r="C4" s="930" t="s">
        <v>331</v>
      </c>
      <c r="D4" s="930" t="s">
        <v>1123</v>
      </c>
      <c r="E4" s="930" t="s">
        <v>1124</v>
      </c>
      <c r="F4" s="930" t="s">
        <v>342</v>
      </c>
      <c r="G4" s="930" t="s">
        <v>803</v>
      </c>
      <c r="H4" s="930" t="s">
        <v>1130</v>
      </c>
      <c r="I4" s="931" t="s">
        <v>806</v>
      </c>
      <c r="J4" s="932" t="s">
        <v>269</v>
      </c>
      <c r="K4" s="932" t="s">
        <v>1125</v>
      </c>
      <c r="L4" s="147" t="s">
        <v>1126</v>
      </c>
      <c r="M4" s="147" t="s">
        <v>1127</v>
      </c>
      <c r="N4" s="933" t="s">
        <v>750</v>
      </c>
      <c r="O4" s="933" t="s">
        <v>751</v>
      </c>
      <c r="P4" t="s">
        <v>1829</v>
      </c>
      <c r="Q4" s="147" t="s">
        <v>1830</v>
      </c>
      <c r="R4" s="147"/>
      <c r="S4" s="147"/>
      <c r="T4" s="147"/>
      <c r="U4" s="229"/>
      <c r="V4" s="147" t="s">
        <v>646</v>
      </c>
      <c r="W4" s="146" t="s">
        <v>758</v>
      </c>
      <c r="X4" s="146" t="s">
        <v>759</v>
      </c>
      <c r="Y4" s="146" t="s">
        <v>756</v>
      </c>
      <c r="Z4" s="146" t="s">
        <v>757</v>
      </c>
      <c r="AA4" s="146" t="s">
        <v>754</v>
      </c>
      <c r="AB4" s="146" t="s">
        <v>755</v>
      </c>
      <c r="AC4" s="146" t="s">
        <v>752</v>
      </c>
      <c r="AD4" s="146" t="s">
        <v>753</v>
      </c>
      <c r="AE4" s="229"/>
      <c r="AF4" s="716"/>
      <c r="AG4" s="147"/>
      <c r="AH4" s="147"/>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c r="IW4" s="229"/>
      <c r="IX4" s="229"/>
      <c r="IY4" s="229"/>
      <c r="IZ4" s="229"/>
      <c r="JA4" s="229"/>
      <c r="JB4" s="229"/>
      <c r="JC4" s="229"/>
      <c r="JD4" s="229"/>
      <c r="JE4" s="229"/>
      <c r="JF4" s="229"/>
      <c r="JG4" s="229"/>
      <c r="JH4" s="229"/>
      <c r="JI4" s="229"/>
      <c r="JJ4" s="229"/>
      <c r="JK4" s="229"/>
      <c r="JL4" s="229"/>
      <c r="JM4" s="229"/>
      <c r="JN4" s="229"/>
      <c r="JO4" s="229"/>
      <c r="JP4" s="229"/>
      <c r="JQ4" s="229"/>
      <c r="JR4" s="229"/>
      <c r="JS4" s="229"/>
      <c r="JT4" s="229"/>
      <c r="JU4" s="229"/>
      <c r="JV4" s="229"/>
      <c r="JW4" s="229"/>
      <c r="JX4" s="229"/>
      <c r="JY4" s="229"/>
      <c r="JZ4" s="229"/>
      <c r="KA4" s="229"/>
      <c r="KB4" s="229"/>
      <c r="KC4" s="229"/>
      <c r="KD4" s="229"/>
      <c r="KE4" s="229"/>
      <c r="KF4" s="229"/>
      <c r="KG4" s="229"/>
      <c r="KH4" s="229"/>
      <c r="KI4" s="229"/>
      <c r="KJ4" s="229"/>
      <c r="KK4" s="229"/>
      <c r="KL4" s="229"/>
      <c r="KM4" s="229"/>
      <c r="KN4" s="229"/>
      <c r="KO4" s="229"/>
      <c r="KP4" s="229"/>
      <c r="KQ4" s="229"/>
      <c r="KR4" s="229"/>
      <c r="KS4" s="229"/>
      <c r="KT4" s="229"/>
      <c r="KU4" s="229"/>
      <c r="KV4" s="229"/>
      <c r="KW4" s="229"/>
      <c r="KX4" s="229"/>
      <c r="KY4" s="229"/>
      <c r="KZ4" s="229"/>
      <c r="LA4" s="229"/>
      <c r="LB4" s="229"/>
      <c r="LC4" s="229"/>
      <c r="LD4" s="229"/>
      <c r="LE4" s="229"/>
      <c r="LF4" s="229"/>
      <c r="LG4" s="229"/>
      <c r="LH4" s="229"/>
      <c r="LI4" s="229"/>
      <c r="LJ4" s="229"/>
      <c r="LK4" s="229"/>
      <c r="LL4" s="229"/>
      <c r="LM4" s="229"/>
      <c r="LN4" s="229"/>
      <c r="LO4" s="229"/>
      <c r="LP4" s="229"/>
      <c r="LQ4" s="229"/>
      <c r="LR4" s="229"/>
      <c r="LS4" s="229"/>
      <c r="LT4" s="229"/>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29"/>
      <c r="MS4" s="229"/>
      <c r="MT4" s="229"/>
      <c r="MU4" s="229"/>
      <c r="MV4" s="229"/>
      <c r="MW4" s="229"/>
      <c r="MX4" s="229"/>
      <c r="MY4" s="229"/>
      <c r="MZ4" s="229"/>
      <c r="NA4" s="229"/>
      <c r="NB4" s="229"/>
      <c r="NC4" s="229"/>
      <c r="ND4" s="229"/>
      <c r="NE4" s="229"/>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29"/>
      <c r="OD4" s="229"/>
      <c r="OE4" s="229"/>
      <c r="OF4" s="229"/>
      <c r="OG4" s="229"/>
      <c r="OH4" s="229"/>
      <c r="OI4" s="229"/>
      <c r="OJ4" s="229"/>
      <c r="OK4" s="229"/>
      <c r="OL4" s="229"/>
      <c r="OM4" s="229"/>
      <c r="ON4" s="229"/>
      <c r="OO4" s="229"/>
      <c r="OP4" s="229"/>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29"/>
      <c r="PO4" s="229"/>
      <c r="PP4" s="229"/>
      <c r="PQ4" s="229"/>
      <c r="PR4" s="229"/>
      <c r="PS4" s="229"/>
      <c r="PT4" s="229"/>
      <c r="PU4" s="229"/>
      <c r="PV4" s="229"/>
      <c r="PW4" s="229"/>
      <c r="PX4" s="229"/>
      <c r="PY4" s="229"/>
      <c r="PZ4" s="229"/>
      <c r="QA4" s="229"/>
      <c r="QB4" s="229"/>
      <c r="QC4" s="229"/>
      <c r="QD4" s="229"/>
      <c r="QE4" s="229"/>
      <c r="QF4" s="229"/>
      <c r="QG4" s="229"/>
      <c r="QH4" s="229"/>
      <c r="QI4" s="229"/>
      <c r="QJ4" s="229"/>
      <c r="QK4" s="229"/>
      <c r="QL4" s="229"/>
      <c r="QM4" s="229"/>
      <c r="QN4" s="229"/>
      <c r="QO4" s="229"/>
      <c r="QP4" s="229"/>
      <c r="QQ4" s="229"/>
      <c r="QR4" s="229"/>
      <c r="QS4" s="229"/>
      <c r="QT4" s="229"/>
      <c r="QU4" s="229"/>
      <c r="QV4" s="229"/>
      <c r="QW4" s="229"/>
      <c r="QX4" s="229"/>
      <c r="QY4" s="229"/>
      <c r="QZ4" s="229"/>
      <c r="RA4" s="229"/>
      <c r="RB4" s="229"/>
      <c r="RC4" s="229"/>
      <c r="RD4" s="229"/>
      <c r="RE4" s="229"/>
      <c r="RF4" s="229"/>
      <c r="RG4" s="229"/>
      <c r="RH4" s="229"/>
      <c r="RI4" s="229"/>
      <c r="RJ4" s="229"/>
      <c r="RK4" s="229"/>
      <c r="RL4" s="229"/>
      <c r="RM4" s="229"/>
      <c r="RN4" s="229"/>
      <c r="RO4" s="229"/>
      <c r="RP4" s="229"/>
      <c r="RQ4" s="229"/>
      <c r="RR4" s="229"/>
      <c r="RS4" s="229"/>
      <c r="RT4" s="229"/>
      <c r="RU4" s="229"/>
      <c r="RV4" s="229"/>
      <c r="RW4" s="229"/>
      <c r="RX4" s="229"/>
      <c r="RY4" s="229"/>
      <c r="RZ4" s="229"/>
      <c r="SA4" s="229"/>
      <c r="SB4" s="229"/>
      <c r="SC4" s="229"/>
      <c r="SD4" s="229"/>
      <c r="SE4" s="229"/>
      <c r="SF4" s="229"/>
      <c r="SG4" s="229"/>
      <c r="SH4" s="229"/>
      <c r="SI4" s="229"/>
      <c r="SJ4" s="229"/>
      <c r="SK4" s="229"/>
      <c r="SL4" s="229"/>
      <c r="SM4" s="229"/>
      <c r="SN4" s="229"/>
      <c r="SO4" s="229"/>
      <c r="SP4" s="229"/>
      <c r="SQ4" s="229"/>
      <c r="SR4" s="229"/>
      <c r="SS4" s="229"/>
      <c r="ST4" s="229"/>
      <c r="SU4" s="229"/>
      <c r="SV4" s="229"/>
      <c r="SW4" s="229"/>
      <c r="SX4" s="229"/>
      <c r="SY4" s="229"/>
      <c r="SZ4" s="229"/>
      <c r="TA4" s="229"/>
      <c r="TB4" s="229"/>
      <c r="TC4" s="229"/>
      <c r="TD4" s="229"/>
      <c r="TE4" s="229"/>
      <c r="TF4" s="229"/>
      <c r="TG4" s="229"/>
      <c r="TH4" s="229"/>
      <c r="TI4" s="229"/>
      <c r="TJ4" s="229"/>
      <c r="TK4" s="229"/>
      <c r="TL4" s="229"/>
      <c r="TM4" s="229"/>
      <c r="TN4" s="229"/>
      <c r="TO4" s="229"/>
      <c r="TP4" s="229"/>
      <c r="TQ4" s="229"/>
      <c r="TR4" s="229"/>
      <c r="TS4" s="229"/>
      <c r="TT4" s="229"/>
      <c r="TU4" s="229"/>
      <c r="TV4" s="229"/>
      <c r="TW4" s="229"/>
      <c r="TX4" s="229"/>
      <c r="TY4" s="229"/>
      <c r="TZ4" s="229"/>
      <c r="UA4" s="229"/>
      <c r="UB4" s="229"/>
      <c r="UC4" s="229"/>
      <c r="UD4" s="229"/>
      <c r="UE4" s="229"/>
      <c r="UF4" s="229"/>
      <c r="UG4" s="229"/>
      <c r="UH4" s="229"/>
      <c r="UI4" s="229"/>
      <c r="UJ4" s="229"/>
      <c r="UK4" s="229"/>
      <c r="UL4" s="229"/>
      <c r="UM4" s="229"/>
      <c r="UN4" s="229"/>
      <c r="UO4" s="229"/>
      <c r="UP4" s="229"/>
      <c r="UQ4" s="229"/>
      <c r="UR4" s="229"/>
      <c r="US4" s="229"/>
      <c r="UT4" s="229"/>
      <c r="UU4" s="229"/>
      <c r="UV4" s="229"/>
      <c r="UW4" s="229"/>
      <c r="UX4" s="229"/>
      <c r="UY4" s="229"/>
      <c r="UZ4" s="229"/>
      <c r="VA4" s="229"/>
      <c r="VB4" s="229"/>
      <c r="VC4" s="229"/>
      <c r="VD4" s="229"/>
      <c r="VE4" s="229"/>
      <c r="VF4" s="229"/>
      <c r="VG4" s="229"/>
      <c r="VH4" s="229"/>
      <c r="VI4" s="229"/>
      <c r="VJ4" s="229"/>
      <c r="VK4" s="229"/>
      <c r="VL4" s="229"/>
      <c r="VM4" s="229"/>
      <c r="VN4" s="229"/>
      <c r="VO4" s="229"/>
      <c r="VP4" s="229"/>
      <c r="VQ4" s="229"/>
      <c r="VR4" s="229"/>
      <c r="VS4" s="229"/>
      <c r="VT4" s="229"/>
      <c r="VU4" s="229"/>
      <c r="VV4" s="229"/>
      <c r="VW4" s="229"/>
      <c r="VX4" s="229"/>
      <c r="VY4" s="229"/>
      <c r="VZ4" s="229"/>
      <c r="WA4" s="229"/>
      <c r="WB4" s="229"/>
      <c r="WC4" s="229"/>
      <c r="WD4" s="229"/>
      <c r="WE4" s="229"/>
      <c r="WF4" s="229"/>
      <c r="WG4" s="229"/>
      <c r="WH4" s="229"/>
      <c r="WI4" s="229"/>
      <c r="WJ4" s="229"/>
      <c r="WK4" s="229"/>
      <c r="WL4" s="229"/>
      <c r="WM4" s="229"/>
      <c r="WN4" s="229"/>
      <c r="WO4" s="229"/>
      <c r="WP4" s="229"/>
      <c r="WQ4" s="229"/>
      <c r="WR4" s="229"/>
      <c r="WS4" s="229"/>
      <c r="WT4" s="229"/>
      <c r="WU4" s="229"/>
      <c r="WV4" s="229"/>
      <c r="WW4" s="229"/>
      <c r="WX4" s="229"/>
      <c r="WY4" s="229"/>
      <c r="WZ4" s="229"/>
      <c r="XA4" s="229"/>
      <c r="XB4" s="229"/>
      <c r="XC4" s="229"/>
      <c r="XD4" s="229"/>
      <c r="XE4" s="229"/>
      <c r="XF4" s="229"/>
      <c r="XG4" s="229"/>
      <c r="XH4" s="229"/>
      <c r="XI4" s="229"/>
      <c r="XJ4" s="229"/>
      <c r="XK4" s="229"/>
      <c r="XL4" s="229"/>
      <c r="XM4" s="229"/>
      <c r="XN4" s="229"/>
      <c r="XO4" s="229"/>
      <c r="XP4" s="229"/>
      <c r="XQ4" s="229"/>
      <c r="XR4" s="229"/>
      <c r="XS4" s="229"/>
      <c r="XT4" s="229"/>
      <c r="XU4" s="229"/>
      <c r="XV4" s="229"/>
      <c r="XW4" s="229"/>
      <c r="XX4" s="229"/>
      <c r="XY4" s="229"/>
      <c r="XZ4" s="229"/>
      <c r="YA4" s="229"/>
      <c r="YB4" s="229"/>
      <c r="YC4" s="229"/>
      <c r="YD4" s="229"/>
      <c r="YE4" s="229"/>
      <c r="YF4" s="229"/>
      <c r="YG4" s="229"/>
      <c r="YH4" s="229"/>
      <c r="YI4" s="229"/>
      <c r="YJ4" s="229"/>
      <c r="YK4" s="229"/>
      <c r="YL4" s="229"/>
      <c r="YM4" s="229"/>
      <c r="YN4" s="229"/>
      <c r="YO4" s="229"/>
      <c r="YP4" s="229"/>
      <c r="YQ4" s="229"/>
      <c r="YR4" s="229"/>
      <c r="YS4" s="229"/>
      <c r="YT4" s="229"/>
      <c r="YU4" s="229"/>
      <c r="YV4" s="229"/>
      <c r="YW4" s="229"/>
      <c r="YX4" s="229"/>
      <c r="YY4" s="229"/>
      <c r="YZ4" s="229"/>
      <c r="ZA4" s="229"/>
      <c r="ZB4" s="229"/>
      <c r="ZC4" s="229"/>
      <c r="ZD4" s="229"/>
      <c r="ZE4" s="229"/>
      <c r="ZF4" s="229"/>
      <c r="ZG4" s="229"/>
      <c r="ZH4" s="229"/>
      <c r="ZI4" s="229"/>
      <c r="ZJ4" s="229"/>
      <c r="ZK4" s="229"/>
      <c r="ZL4" s="229"/>
      <c r="ZM4" s="229"/>
      <c r="ZN4" s="229"/>
      <c r="ZO4" s="229"/>
      <c r="ZP4" s="229"/>
      <c r="ZQ4" s="229"/>
      <c r="ZR4" s="229"/>
      <c r="ZS4" s="229"/>
      <c r="ZT4" s="229"/>
      <c r="ZU4" s="229"/>
      <c r="ZV4" s="229"/>
      <c r="ZW4" s="229"/>
      <c r="ZX4" s="229"/>
      <c r="ZY4" s="229"/>
      <c r="ZZ4" s="229"/>
      <c r="AAA4" s="229"/>
      <c r="AAB4" s="229"/>
      <c r="AAC4" s="229"/>
      <c r="AAD4" s="229"/>
      <c r="AAE4" s="229"/>
      <c r="AAF4" s="229"/>
      <c r="AAG4" s="229"/>
      <c r="AAH4" s="229"/>
      <c r="AAI4" s="229"/>
      <c r="AAJ4" s="229"/>
      <c r="AAK4" s="229"/>
      <c r="AAL4" s="229"/>
      <c r="AAM4" s="229"/>
      <c r="AAN4" s="229"/>
      <c r="AAO4" s="229"/>
      <c r="AAP4" s="229"/>
      <c r="AAQ4" s="229"/>
      <c r="AAR4" s="229"/>
      <c r="AAS4" s="229"/>
      <c r="AAT4" s="229"/>
      <c r="AAU4" s="229"/>
      <c r="AAV4" s="229"/>
      <c r="AAW4" s="229"/>
      <c r="AAX4" s="229"/>
      <c r="AAY4" s="229"/>
      <c r="AAZ4" s="229"/>
      <c r="ABA4" s="229"/>
      <c r="ABB4" s="229"/>
      <c r="ABC4" s="229"/>
      <c r="ABD4" s="229"/>
      <c r="ABE4" s="229"/>
      <c r="ABF4" s="229"/>
      <c r="ABG4" s="229"/>
      <c r="ABH4" s="229"/>
      <c r="ABI4" s="229"/>
      <c r="ABJ4" s="229"/>
      <c r="ABK4" s="229"/>
      <c r="ABL4" s="229"/>
      <c r="ABM4" s="229"/>
      <c r="ABN4" s="229"/>
      <c r="ABO4" s="229"/>
      <c r="ABP4" s="229"/>
      <c r="ABQ4" s="229"/>
      <c r="ABR4" s="229"/>
      <c r="ABS4" s="229"/>
      <c r="ABT4" s="229"/>
      <c r="ABU4" s="229"/>
      <c r="ABV4" s="229"/>
      <c r="ABW4" s="229"/>
      <c r="ABX4" s="229"/>
      <c r="ABY4" s="229"/>
      <c r="ABZ4" s="229"/>
      <c r="ACA4" s="229"/>
      <c r="ACB4" s="229"/>
      <c r="ACC4" s="229"/>
      <c r="ACD4" s="229"/>
      <c r="ACE4" s="229"/>
      <c r="ACF4" s="229"/>
      <c r="ACG4" s="229"/>
      <c r="ACH4" s="229"/>
      <c r="ACI4" s="229"/>
      <c r="ACJ4" s="229"/>
      <c r="ACK4" s="229"/>
      <c r="ACL4" s="229"/>
      <c r="ACM4" s="229"/>
      <c r="ACN4" s="229"/>
      <c r="ACO4" s="229"/>
      <c r="ACP4" s="229"/>
      <c r="ACQ4" s="229"/>
      <c r="ACR4" s="229"/>
      <c r="ACS4" s="229"/>
      <c r="ACT4" s="229"/>
      <c r="ACU4" s="229"/>
      <c r="ACV4" s="229"/>
      <c r="ACW4" s="229"/>
      <c r="ACX4" s="229"/>
      <c r="ACY4" s="229"/>
      <c r="ACZ4" s="229"/>
      <c r="ADA4" s="229"/>
      <c r="ADB4" s="229"/>
      <c r="ADC4" s="229"/>
      <c r="ADD4" s="229"/>
      <c r="ADE4" s="229"/>
      <c r="ADF4" s="229"/>
      <c r="ADG4" s="229"/>
      <c r="ADH4" s="229"/>
      <c r="ADI4" s="229"/>
      <c r="ADJ4" s="229"/>
      <c r="ADK4" s="229"/>
      <c r="ADL4" s="229"/>
      <c r="ADM4" s="229"/>
      <c r="ADN4" s="229"/>
      <c r="ADO4" s="229"/>
      <c r="ADP4" s="229"/>
      <c r="ADQ4" s="229"/>
      <c r="ADR4" s="229"/>
      <c r="ADS4" s="229"/>
      <c r="ADT4" s="229"/>
      <c r="ADU4" s="229"/>
      <c r="ADV4" s="229"/>
      <c r="ADW4" s="229"/>
      <c r="ADX4" s="229"/>
      <c r="ADY4" s="229"/>
      <c r="ADZ4" s="229"/>
      <c r="AEA4" s="229"/>
      <c r="AEB4" s="229"/>
      <c r="AEC4" s="229"/>
      <c r="AED4" s="229"/>
      <c r="AEE4" s="229"/>
      <c r="AEF4" s="229"/>
      <c r="AEG4" s="229"/>
      <c r="AEH4" s="229"/>
      <c r="AEI4" s="229"/>
      <c r="AEJ4" s="229"/>
      <c r="AEK4" s="229"/>
      <c r="AEL4" s="229"/>
      <c r="AEM4" s="229"/>
      <c r="AEN4" s="229"/>
      <c r="AEO4" s="229"/>
      <c r="AEP4" s="229"/>
      <c r="AEQ4" s="229"/>
      <c r="AER4" s="229"/>
      <c r="AES4" s="229"/>
      <c r="AET4" s="229"/>
      <c r="AEU4" s="229"/>
      <c r="AEV4" s="229"/>
      <c r="AEW4" s="229"/>
      <c r="AEX4" s="229"/>
      <c r="AEY4" s="229"/>
      <c r="AEZ4" s="229"/>
      <c r="AFA4" s="229"/>
      <c r="AFB4" s="229"/>
      <c r="AFC4" s="229"/>
      <c r="AFD4" s="229"/>
      <c r="AFE4" s="229"/>
      <c r="AFF4" s="229"/>
      <c r="AFG4" s="229"/>
      <c r="AFH4" s="229"/>
      <c r="AFI4" s="229"/>
      <c r="AFJ4" s="229"/>
      <c r="AFK4" s="229"/>
      <c r="AFL4" s="229"/>
      <c r="AFM4" s="229"/>
      <c r="AFN4" s="229"/>
      <c r="AFO4" s="229"/>
      <c r="AFP4" s="229"/>
      <c r="AFQ4" s="229"/>
      <c r="AFR4" s="229"/>
      <c r="AFS4" s="229"/>
      <c r="AFT4" s="229"/>
      <c r="AFU4" s="229"/>
      <c r="AFV4" s="229"/>
      <c r="AFW4" s="229"/>
      <c r="AFX4" s="229"/>
      <c r="AFY4" s="229"/>
      <c r="AFZ4" s="229"/>
      <c r="AGA4" s="229"/>
      <c r="AGB4" s="229"/>
      <c r="AGC4" s="229"/>
      <c r="AGD4" s="229"/>
      <c r="AGE4" s="229"/>
      <c r="AGF4" s="229"/>
      <c r="AGG4" s="229"/>
      <c r="AGH4" s="229"/>
      <c r="AGI4" s="229"/>
      <c r="AGJ4" s="229"/>
      <c r="AGK4" s="229"/>
      <c r="AGL4" s="229"/>
      <c r="AGM4" s="229"/>
      <c r="AGN4" s="229"/>
      <c r="AGO4" s="229"/>
      <c r="AGP4" s="229"/>
      <c r="AGQ4" s="229"/>
      <c r="AGR4" s="229"/>
      <c r="AGS4" s="229"/>
      <c r="AGT4" s="229"/>
      <c r="AGU4" s="229"/>
      <c r="AGV4" s="229"/>
      <c r="AGW4" s="229"/>
      <c r="AGX4" s="229"/>
      <c r="AGY4" s="229"/>
      <c r="AGZ4" s="229"/>
      <c r="AHA4" s="229"/>
      <c r="AHB4" s="229"/>
      <c r="AHC4" s="229"/>
      <c r="AHD4" s="229"/>
      <c r="AHE4" s="229"/>
      <c r="AHF4" s="229"/>
      <c r="AHG4" s="229"/>
      <c r="AHH4" s="229"/>
      <c r="AHI4" s="229"/>
      <c r="AHJ4" s="229"/>
      <c r="AHK4" s="229"/>
      <c r="AHL4" s="229"/>
      <c r="AHM4" s="229"/>
      <c r="AHN4" s="229"/>
      <c r="AHO4" s="229"/>
      <c r="AHP4" s="229"/>
      <c r="AHQ4" s="229"/>
      <c r="AHR4" s="229"/>
      <c r="AHS4" s="229"/>
      <c r="AHT4" s="229"/>
      <c r="AHU4" s="229"/>
      <c r="AHV4" s="229"/>
      <c r="AHW4" s="229"/>
      <c r="AHX4" s="229"/>
      <c r="AHY4" s="229"/>
      <c r="AHZ4" s="229"/>
      <c r="AIA4" s="229"/>
      <c r="AIB4" s="229"/>
      <c r="AIC4" s="229"/>
      <c r="AID4" s="229"/>
      <c r="AIE4" s="229"/>
      <c r="AIF4" s="229"/>
      <c r="AIG4" s="229"/>
      <c r="AIH4" s="229"/>
      <c r="AII4" s="229"/>
      <c r="AIJ4" s="229"/>
      <c r="AIK4" s="229"/>
      <c r="AIL4" s="229"/>
      <c r="AIM4" s="229"/>
      <c r="AIN4" s="229"/>
      <c r="AIO4" s="229"/>
      <c r="AIP4" s="229"/>
      <c r="AIQ4" s="229"/>
      <c r="AIR4" s="229"/>
      <c r="AIS4" s="229"/>
      <c r="AIT4" s="229"/>
      <c r="AIU4" s="229"/>
      <c r="AIV4" s="229"/>
      <c r="AIW4" s="229"/>
      <c r="AIX4" s="229"/>
      <c r="AIY4" s="229"/>
      <c r="AIZ4" s="229"/>
      <c r="AJA4" s="229"/>
      <c r="AJB4" s="229"/>
      <c r="AJC4" s="229"/>
      <c r="AJD4" s="229"/>
      <c r="AJE4" s="229"/>
      <c r="AJF4" s="229"/>
      <c r="AJG4" s="229"/>
      <c r="AJH4" s="229"/>
      <c r="AJI4" s="229"/>
      <c r="AJJ4" s="229"/>
      <c r="AJK4" s="229"/>
      <c r="AJL4" s="229"/>
      <c r="AJM4" s="229"/>
      <c r="AJN4" s="229"/>
      <c r="AJO4" s="229"/>
      <c r="AJP4" s="229"/>
      <c r="AJQ4" s="229"/>
      <c r="AJR4" s="229"/>
      <c r="AJS4" s="229"/>
      <c r="AJT4" s="229"/>
      <c r="AJU4" s="229"/>
      <c r="AJV4" s="229"/>
      <c r="AJW4" s="229"/>
      <c r="AJX4" s="229"/>
      <c r="AJY4" s="229"/>
      <c r="AJZ4" s="229"/>
      <c r="AKA4" s="229"/>
      <c r="AKB4" s="229"/>
      <c r="AKC4" s="229"/>
      <c r="AKD4" s="229"/>
      <c r="AKE4" s="229"/>
      <c r="AKF4" s="229"/>
      <c r="AKG4" s="229"/>
      <c r="AKH4" s="229"/>
      <c r="AKI4" s="229"/>
      <c r="AKJ4" s="229"/>
      <c r="AKK4" s="229"/>
      <c r="AKL4" s="229"/>
      <c r="AKM4" s="229"/>
      <c r="AKN4" s="229"/>
      <c r="AKO4" s="229"/>
      <c r="AKP4" s="229"/>
      <c r="AKQ4" s="229"/>
      <c r="AKR4" s="229"/>
      <c r="AKS4" s="229"/>
      <c r="AKT4" s="229"/>
      <c r="AKU4" s="229"/>
      <c r="AKV4" s="229"/>
      <c r="AKW4" s="229"/>
      <c r="AKX4" s="229"/>
      <c r="AKY4" s="229"/>
      <c r="AKZ4" s="229"/>
      <c r="ALA4" s="229"/>
      <c r="ALB4" s="229"/>
      <c r="ALC4" s="229"/>
      <c r="ALD4" s="229"/>
      <c r="ALE4" s="229"/>
      <c r="ALF4" s="229"/>
      <c r="ALG4" s="229"/>
      <c r="ALH4" s="229"/>
      <c r="ALI4" s="229"/>
      <c r="ALJ4" s="229"/>
      <c r="ALK4" s="229"/>
      <c r="ALL4" s="229"/>
      <c r="ALM4" s="229"/>
      <c r="ALN4" s="229"/>
      <c r="ALO4" s="229"/>
      <c r="ALP4" s="229"/>
      <c r="ALQ4" s="229"/>
      <c r="ALR4" s="229"/>
      <c r="ALS4" s="229"/>
      <c r="ALT4" s="229"/>
      <c r="ALU4" s="229"/>
      <c r="ALV4" s="229"/>
      <c r="ALW4" s="229"/>
      <c r="ALX4" s="229"/>
      <c r="ALY4" s="229"/>
      <c r="ALZ4" s="229"/>
      <c r="AMA4" s="229"/>
      <c r="AMB4" s="229"/>
      <c r="AMC4" s="229"/>
      <c r="AMD4" s="229"/>
      <c r="AME4" s="229"/>
      <c r="AMF4" s="229"/>
      <c r="AMG4" s="229"/>
      <c r="AMH4" s="229"/>
      <c r="AMI4" s="229"/>
      <c r="AMJ4" s="229"/>
      <c r="AMK4" s="229"/>
      <c r="AML4" s="229"/>
      <c r="AMM4" s="229"/>
      <c r="AMN4" s="229"/>
      <c r="AMO4" s="229"/>
      <c r="AMP4" s="229"/>
      <c r="AMQ4" s="229"/>
      <c r="AMR4" s="229"/>
      <c r="AMS4" s="229"/>
      <c r="AMT4" s="229"/>
      <c r="AMU4" s="229"/>
      <c r="AMV4" s="229"/>
      <c r="AMW4" s="229"/>
      <c r="AMX4" s="229"/>
      <c r="AMY4" s="229"/>
    </row>
    <row r="5" spans="1:1039">
      <c r="A5" t="s">
        <v>355</v>
      </c>
      <c r="B5" s="56" t="s">
        <v>254</v>
      </c>
      <c r="C5">
        <v>-1</v>
      </c>
      <c r="D5" s="346" t="str">
        <f>CONCATENATE($K$5,C5)</f>
        <v>Alpes Maritimes-1</v>
      </c>
      <c r="E5" s="927" t="s">
        <v>1837</v>
      </c>
      <c r="F5" s="927" t="s">
        <v>1838</v>
      </c>
      <c r="G5" s="925">
        <v>262463116</v>
      </c>
      <c r="H5" s="349">
        <f>C5*-1</f>
        <v>1</v>
      </c>
      <c r="I5" s="148">
        <f>IF(A5="E",(G5/(VLOOKUP(B5,$J$1:$M$19,MATCH("Export N",$J$4:$M$4,0),FALSE))),(G5/(VLOOKUP(B5,$J$1:$M$19,MATCH("Import N",$J$4:$M$4,0),FALSE))))</f>
        <v>7.7984024155951362E-2</v>
      </c>
      <c r="J5" s="343" t="s">
        <v>254</v>
      </c>
      <c r="K5" s="344" t="s">
        <v>1437</v>
      </c>
      <c r="L5" s="925">
        <v>2914080218</v>
      </c>
      <c r="M5" s="147">
        <v>3365601081</v>
      </c>
      <c r="N5" s="16">
        <f t="shared" ref="N5:N19" si="0">(L5-M5)/1000000</f>
        <v>-451.52086300000002</v>
      </c>
      <c r="O5" s="16">
        <v>-312.70384100000001</v>
      </c>
      <c r="P5" s="285">
        <f>(N5-O5)</f>
        <v>-138.81702200000001</v>
      </c>
      <c r="Q5" s="341">
        <f>(P5/O5)*-1</f>
        <v>-0.44392490209290397</v>
      </c>
      <c r="R5" s="341"/>
      <c r="S5" s="147"/>
      <c r="T5" s="147"/>
      <c r="V5" s="9" t="s">
        <v>1437</v>
      </c>
      <c r="W5" s="867">
        <v>2438</v>
      </c>
      <c r="X5" s="867">
        <v>-3002</v>
      </c>
      <c r="Y5" s="867">
        <v>3059</v>
      </c>
      <c r="Z5" s="867">
        <v>-3191</v>
      </c>
      <c r="AA5" s="827">
        <v>3541.0309320000001</v>
      </c>
      <c r="AB5" s="827">
        <v>-3853.7347730000001</v>
      </c>
      <c r="AC5" s="217">
        <f>L5/1000000</f>
        <v>2914.0802180000001</v>
      </c>
      <c r="AD5" s="827">
        <f>M5/1000000*-1</f>
        <v>-3365.6010809999998</v>
      </c>
      <c r="AF5" s="344"/>
      <c r="AG5" s="147"/>
      <c r="AH5" s="147"/>
    </row>
    <row r="6" spans="1:1039">
      <c r="A6" t="s">
        <v>355</v>
      </c>
      <c r="B6" s="56" t="s">
        <v>254</v>
      </c>
      <c r="C6">
        <v>-2</v>
      </c>
      <c r="D6" s="346" t="str">
        <f t="shared" ref="D6:D14" si="1">CONCATENATE($K$5,C6)</f>
        <v>Alpes Maritimes-2</v>
      </c>
      <c r="E6" s="927" t="s">
        <v>1836</v>
      </c>
      <c r="F6" s="927" t="s">
        <v>354</v>
      </c>
      <c r="G6" s="925">
        <v>248707181</v>
      </c>
      <c r="H6" s="349">
        <f t="shared" ref="H6:H69" si="2">C6*-1</f>
        <v>2</v>
      </c>
      <c r="I6" s="148">
        <f t="shared" ref="I6:I69" si="3">IF(A6="E",(G6/(VLOOKUP(B6,$J$1:$M$19,MATCH("Export N",$J$4:$M$4,0),FALSE))),(G6/(VLOOKUP(B6,$J$1:$M$19,MATCH("Import N",$J$4:$M$4,0),FALSE))))</f>
        <v>7.3896809221995846E-2</v>
      </c>
      <c r="J6" s="343" t="s">
        <v>255</v>
      </c>
      <c r="K6" s="344" t="s">
        <v>235</v>
      </c>
      <c r="L6" s="925">
        <v>13961068713</v>
      </c>
      <c r="M6" s="147">
        <v>15496450260</v>
      </c>
      <c r="N6" s="16">
        <f t="shared" si="0"/>
        <v>-1535.381547</v>
      </c>
      <c r="O6" s="16">
        <v>-7868.9698200000003</v>
      </c>
      <c r="P6" s="285">
        <f t="shared" ref="P6:P18" si="4">(N6-O6)</f>
        <v>6333.5882730000003</v>
      </c>
      <c r="Q6" s="341">
        <f t="shared" ref="Q6:Q19" si="5">(P6/O6)*-1</f>
        <v>0.80488150518793067</v>
      </c>
      <c r="R6" s="341"/>
      <c r="S6" s="147"/>
      <c r="T6" s="147"/>
      <c r="V6" s="9" t="s">
        <v>242</v>
      </c>
      <c r="W6" s="867">
        <v>16718</v>
      </c>
      <c r="X6" s="867">
        <v>-18051</v>
      </c>
      <c r="Y6" s="867">
        <v>18196</v>
      </c>
      <c r="Z6" s="867">
        <v>-18626</v>
      </c>
      <c r="AA6" s="827">
        <v>18347.438515999998</v>
      </c>
      <c r="AB6" s="827">
        <v>-17806.179994999999</v>
      </c>
      <c r="AC6" s="827">
        <f>L15/1000000</f>
        <v>19401.893920999999</v>
      </c>
      <c r="AD6" s="827">
        <f>M15/1000000*-1</f>
        <v>-18959.887084999998</v>
      </c>
      <c r="AF6" s="344"/>
      <c r="AG6" s="147"/>
      <c r="AH6" s="147"/>
    </row>
    <row r="7" spans="1:1039">
      <c r="A7" t="s">
        <v>355</v>
      </c>
      <c r="B7" s="56" t="s">
        <v>254</v>
      </c>
      <c r="C7">
        <v>-3</v>
      </c>
      <c r="D7" s="346" t="str">
        <f t="shared" si="1"/>
        <v>Alpes Maritimes-3</v>
      </c>
      <c r="E7" s="927" t="s">
        <v>1831</v>
      </c>
      <c r="F7" s="927" t="s">
        <v>350</v>
      </c>
      <c r="G7" s="925">
        <v>232770290</v>
      </c>
      <c r="H7" s="349">
        <f t="shared" si="2"/>
        <v>3</v>
      </c>
      <c r="I7" s="148">
        <f t="shared" si="3"/>
        <v>6.9161580471931161E-2</v>
      </c>
      <c r="J7" s="343" t="s">
        <v>256</v>
      </c>
      <c r="K7" s="344" t="s">
        <v>236</v>
      </c>
      <c r="L7" s="925">
        <v>41241919609</v>
      </c>
      <c r="M7" s="147">
        <v>31184532311</v>
      </c>
      <c r="N7" s="16">
        <f t="shared" si="0"/>
        <v>10057.387298</v>
      </c>
      <c r="O7" s="16">
        <v>13375.747194</v>
      </c>
      <c r="P7" s="285">
        <f t="shared" si="4"/>
        <v>-3318.3598959999999</v>
      </c>
      <c r="Q7" s="341">
        <f t="shared" si="5"/>
        <v>0.24808781504845778</v>
      </c>
      <c r="R7" s="341"/>
      <c r="S7" s="147"/>
      <c r="T7" s="147"/>
      <c r="V7" s="9" t="s">
        <v>235</v>
      </c>
      <c r="W7" s="867">
        <v>15873</v>
      </c>
      <c r="X7" s="867">
        <v>-27441</v>
      </c>
      <c r="Y7" s="867">
        <v>14707</v>
      </c>
      <c r="Z7" s="867">
        <v>-23619</v>
      </c>
      <c r="AA7" s="827">
        <v>13371.284197999999</v>
      </c>
      <c r="AB7" s="827">
        <v>-21240.254018</v>
      </c>
      <c r="AC7" s="827">
        <f>L6/1000000</f>
        <v>13961.068713000001</v>
      </c>
      <c r="AD7" s="827">
        <f>M6/1000000*-1</f>
        <v>-15496.45026</v>
      </c>
      <c r="AF7" s="344"/>
      <c r="AG7" s="147"/>
      <c r="AH7" s="147"/>
    </row>
    <row r="8" spans="1:1039">
      <c r="A8" t="s">
        <v>355</v>
      </c>
      <c r="B8" s="56" t="s">
        <v>254</v>
      </c>
      <c r="C8">
        <v>-4</v>
      </c>
      <c r="D8" s="346" t="str">
        <f t="shared" si="1"/>
        <v>Alpes Maritimes-4</v>
      </c>
      <c r="E8" s="927" t="s">
        <v>1839</v>
      </c>
      <c r="F8" s="927" t="s">
        <v>360</v>
      </c>
      <c r="G8" s="925">
        <v>153713320</v>
      </c>
      <c r="H8" s="349">
        <f t="shared" si="2"/>
        <v>4</v>
      </c>
      <c r="I8" s="148">
        <f t="shared" si="3"/>
        <v>4.5671877415230717E-2</v>
      </c>
      <c r="J8" s="343" t="s">
        <v>71</v>
      </c>
      <c r="K8" s="344" t="s">
        <v>114</v>
      </c>
      <c r="L8" s="925">
        <v>7002141466</v>
      </c>
      <c r="M8" s="147">
        <v>7472667693</v>
      </c>
      <c r="N8" s="16">
        <f t="shared" si="0"/>
        <v>-470.52622700000001</v>
      </c>
      <c r="O8" s="16">
        <v>-587.52286200000003</v>
      </c>
      <c r="P8" s="285">
        <f t="shared" si="4"/>
        <v>116.99663500000003</v>
      </c>
      <c r="Q8" s="341">
        <f t="shared" si="5"/>
        <v>0.19913545934489954</v>
      </c>
      <c r="R8" s="341"/>
      <c r="S8" s="147"/>
      <c r="T8" s="147"/>
      <c r="V8" s="9" t="s">
        <v>114</v>
      </c>
      <c r="W8" s="287">
        <v>6375</v>
      </c>
      <c r="X8" s="287">
        <v>-7099</v>
      </c>
      <c r="Y8" s="287">
        <v>6852</v>
      </c>
      <c r="Z8" s="287">
        <v>-6906</v>
      </c>
      <c r="AA8" s="717">
        <v>6691.3166689999998</v>
      </c>
      <c r="AB8" s="717">
        <v>-7278.8395309999996</v>
      </c>
      <c r="AC8" s="827">
        <f>L8/1000000</f>
        <v>7002.141466</v>
      </c>
      <c r="AD8" s="827">
        <f>M8/1000000*-1</f>
        <v>-7472.6676930000003</v>
      </c>
      <c r="AF8" s="344"/>
      <c r="AG8" s="147"/>
      <c r="AH8" s="147"/>
    </row>
    <row r="9" spans="1:1039">
      <c r="A9" t="s">
        <v>355</v>
      </c>
      <c r="B9" s="56" t="s">
        <v>254</v>
      </c>
      <c r="C9">
        <v>-5</v>
      </c>
      <c r="D9" s="346" t="str">
        <f t="shared" si="1"/>
        <v>Alpes Maritimes-5</v>
      </c>
      <c r="E9" s="927" t="s">
        <v>108</v>
      </c>
      <c r="F9" s="927" t="s">
        <v>356</v>
      </c>
      <c r="G9" s="925">
        <v>143607804</v>
      </c>
      <c r="H9" s="349">
        <f t="shared" si="2"/>
        <v>5</v>
      </c>
      <c r="I9" s="148">
        <f t="shared" si="3"/>
        <v>4.2669288648234778E-2</v>
      </c>
      <c r="J9" s="343" t="s">
        <v>257</v>
      </c>
      <c r="K9" s="344" t="s">
        <v>237</v>
      </c>
      <c r="L9" s="925">
        <v>1788848018</v>
      </c>
      <c r="M9" s="147">
        <v>4155894983</v>
      </c>
      <c r="N9" s="16">
        <f t="shared" si="0"/>
        <v>-2367.046965</v>
      </c>
      <c r="O9" s="16">
        <v>-2126.1456459999999</v>
      </c>
      <c r="P9" s="285">
        <f t="shared" si="4"/>
        <v>-240.90131900000006</v>
      </c>
      <c r="Q9" s="341">
        <f t="shared" si="5"/>
        <v>-0.11330424115263084</v>
      </c>
      <c r="R9" s="341"/>
      <c r="S9" s="147"/>
      <c r="T9" s="147"/>
      <c r="V9" s="9" t="s">
        <v>236</v>
      </c>
      <c r="W9" s="867">
        <v>41085</v>
      </c>
      <c r="X9" s="867">
        <v>-28593</v>
      </c>
      <c r="Y9" s="867">
        <v>44666</v>
      </c>
      <c r="Z9" s="867">
        <v>-30992</v>
      </c>
      <c r="AA9" s="827">
        <v>31792.364573999999</v>
      </c>
      <c r="AB9" s="827">
        <v>-18416.61738</v>
      </c>
      <c r="AC9" s="827">
        <f>L7/1000000</f>
        <v>41241.919608999997</v>
      </c>
      <c r="AD9" s="827">
        <f>M7/1000000*-1</f>
        <v>-31184.532310999999</v>
      </c>
      <c r="AF9" s="344"/>
      <c r="AG9" s="147"/>
      <c r="AH9" s="147"/>
    </row>
    <row r="10" spans="1:1039">
      <c r="A10" t="s">
        <v>351</v>
      </c>
      <c r="B10" s="56" t="s">
        <v>254</v>
      </c>
      <c r="C10">
        <v>1</v>
      </c>
      <c r="D10" s="346" t="str">
        <f t="shared" si="1"/>
        <v>Alpes Maritimes1</v>
      </c>
      <c r="E10" t="s">
        <v>1831</v>
      </c>
      <c r="F10" t="s">
        <v>350</v>
      </c>
      <c r="G10">
        <v>1006970417</v>
      </c>
      <c r="H10" s="349">
        <f t="shared" si="2"/>
        <v>-1</v>
      </c>
      <c r="I10" s="148">
        <f t="shared" si="3"/>
        <v>0.34555343081499207</v>
      </c>
      <c r="J10" s="343" t="s">
        <v>258</v>
      </c>
      <c r="K10" s="344" t="s">
        <v>238</v>
      </c>
      <c r="L10" s="925">
        <v>4722165515</v>
      </c>
      <c r="M10" s="147">
        <v>4750550264</v>
      </c>
      <c r="N10" s="16">
        <f t="shared" si="0"/>
        <v>-28.384748999999999</v>
      </c>
      <c r="O10" s="16">
        <v>-132.750732</v>
      </c>
      <c r="P10" s="285">
        <f t="shared" si="4"/>
        <v>104.365983</v>
      </c>
      <c r="Q10" s="341">
        <f t="shared" si="5"/>
        <v>0.78618009428377389</v>
      </c>
      <c r="R10" s="341"/>
      <c r="S10" s="147"/>
      <c r="T10" s="147"/>
      <c r="V10" s="9" t="s">
        <v>237</v>
      </c>
      <c r="W10" s="867">
        <v>2264</v>
      </c>
      <c r="X10" s="867">
        <v>-3903</v>
      </c>
      <c r="Y10" s="867">
        <v>2276</v>
      </c>
      <c r="Z10" s="867">
        <v>-4428</v>
      </c>
      <c r="AA10" s="827">
        <v>1949.2394159999999</v>
      </c>
      <c r="AB10" s="827">
        <v>-4075.3850619999998</v>
      </c>
      <c r="AC10" s="827">
        <f t="shared" ref="AC10:AC15" si="6">L9/1000000</f>
        <v>1788.8480179999999</v>
      </c>
      <c r="AD10" s="827">
        <f t="shared" ref="AD10:AD15" si="7">M9/1000000*-1</f>
        <v>-4155.8949830000001</v>
      </c>
      <c r="AF10" s="344"/>
      <c r="AG10" s="147"/>
      <c r="AH10" s="147"/>
    </row>
    <row r="11" spans="1:1039">
      <c r="A11" t="s">
        <v>351</v>
      </c>
      <c r="B11" s="56" t="s">
        <v>254</v>
      </c>
      <c r="C11">
        <v>2</v>
      </c>
      <c r="D11" s="346" t="str">
        <f t="shared" si="1"/>
        <v>Alpes Maritimes2</v>
      </c>
      <c r="E11" t="s">
        <v>1832</v>
      </c>
      <c r="F11" t="s">
        <v>1833</v>
      </c>
      <c r="G11">
        <v>242902133</v>
      </c>
      <c r="H11" s="349">
        <f t="shared" si="2"/>
        <v>-2</v>
      </c>
      <c r="I11" s="148">
        <f t="shared" si="3"/>
        <v>8.3354648749755178E-2</v>
      </c>
      <c r="J11" s="343" t="s">
        <v>259</v>
      </c>
      <c r="K11" s="344" t="s">
        <v>239</v>
      </c>
      <c r="L11" s="925">
        <v>11265585900</v>
      </c>
      <c r="M11" s="147">
        <v>11743818854</v>
      </c>
      <c r="N11" s="16">
        <f t="shared" si="0"/>
        <v>-478.23295400000001</v>
      </c>
      <c r="O11" s="16">
        <v>-802.81698800000004</v>
      </c>
      <c r="P11" s="285">
        <f t="shared" si="4"/>
        <v>324.58403400000003</v>
      </c>
      <c r="Q11" s="341">
        <f t="shared" si="5"/>
        <v>0.40430638470744468</v>
      </c>
      <c r="R11" s="341"/>
      <c r="S11" s="147"/>
      <c r="T11" s="147"/>
      <c r="V11" s="9" t="s">
        <v>238</v>
      </c>
      <c r="W11" s="867">
        <v>4020</v>
      </c>
      <c r="X11" s="867">
        <v>-4462</v>
      </c>
      <c r="Y11" s="867">
        <v>4176</v>
      </c>
      <c r="Z11" s="867">
        <v>-4506</v>
      </c>
      <c r="AA11" s="827">
        <v>4329.3181590000004</v>
      </c>
      <c r="AB11" s="827">
        <v>-4462.0688909999999</v>
      </c>
      <c r="AC11" s="827">
        <f t="shared" si="6"/>
        <v>4722.1655149999997</v>
      </c>
      <c r="AD11" s="827">
        <f t="shared" si="7"/>
        <v>-4750.5502640000004</v>
      </c>
      <c r="AF11" s="344"/>
      <c r="AG11" s="147"/>
      <c r="AH11" s="147"/>
    </row>
    <row r="12" spans="1:1039">
      <c r="A12" t="s">
        <v>351</v>
      </c>
      <c r="B12" s="56" t="s">
        <v>254</v>
      </c>
      <c r="C12">
        <v>3</v>
      </c>
      <c r="D12" s="346" t="str">
        <f t="shared" si="1"/>
        <v>Alpes Maritimes3</v>
      </c>
      <c r="E12" t="s">
        <v>1834</v>
      </c>
      <c r="F12" t="s">
        <v>352</v>
      </c>
      <c r="G12">
        <v>228740842</v>
      </c>
      <c r="H12" s="349">
        <f t="shared" si="2"/>
        <v>-3</v>
      </c>
      <c r="I12" s="148">
        <f t="shared" si="3"/>
        <v>7.8495039562428412E-2</v>
      </c>
      <c r="J12" s="343" t="s">
        <v>260</v>
      </c>
      <c r="K12" s="344" t="s">
        <v>240</v>
      </c>
      <c r="L12" s="925">
        <v>7375486146</v>
      </c>
      <c r="M12" s="147">
        <v>8419626025</v>
      </c>
      <c r="N12" s="16">
        <f t="shared" si="0"/>
        <v>-1044.1398790000001</v>
      </c>
      <c r="O12" s="16">
        <v>-3214.8916880000002</v>
      </c>
      <c r="P12" s="285">
        <f t="shared" si="4"/>
        <v>2170.7518090000003</v>
      </c>
      <c r="Q12" s="341">
        <f t="shared" si="5"/>
        <v>0.67521771172030853</v>
      </c>
      <c r="R12" s="341"/>
      <c r="S12" s="147"/>
      <c r="T12" s="147"/>
      <c r="V12" s="9" t="s">
        <v>239</v>
      </c>
      <c r="W12" s="867">
        <v>10034</v>
      </c>
      <c r="X12" s="867">
        <v>-9468</v>
      </c>
      <c r="Y12" s="867">
        <v>10281</v>
      </c>
      <c r="Z12" s="867">
        <v>-10331</v>
      </c>
      <c r="AA12" s="827">
        <v>9982.7863849999994</v>
      </c>
      <c r="AB12" s="827">
        <v>-10785.603373</v>
      </c>
      <c r="AC12" s="827">
        <f t="shared" si="6"/>
        <v>11265.5859</v>
      </c>
      <c r="AD12" s="827">
        <f t="shared" si="7"/>
        <v>-11743.818853999999</v>
      </c>
      <c r="AF12" s="344"/>
      <c r="AG12" s="147"/>
      <c r="AH12" s="147"/>
    </row>
    <row r="13" spans="1:1039">
      <c r="A13" t="s">
        <v>351</v>
      </c>
      <c r="B13" s="56" t="s">
        <v>254</v>
      </c>
      <c r="C13">
        <v>4</v>
      </c>
      <c r="D13" s="346" t="str">
        <f t="shared" si="1"/>
        <v>Alpes Maritimes4</v>
      </c>
      <c r="E13" t="s">
        <v>1835</v>
      </c>
      <c r="F13" t="s">
        <v>353</v>
      </c>
      <c r="G13">
        <v>185622638</v>
      </c>
      <c r="H13" s="349">
        <f t="shared" si="2"/>
        <v>-4</v>
      </c>
      <c r="I13" s="148">
        <f t="shared" si="3"/>
        <v>6.3698534053189884E-2</v>
      </c>
      <c r="J13" s="343" t="s">
        <v>261</v>
      </c>
      <c r="K13" s="344" t="s">
        <v>241</v>
      </c>
      <c r="L13" s="925">
        <v>22264885486</v>
      </c>
      <c r="M13" s="147">
        <v>28175096261</v>
      </c>
      <c r="N13" s="16">
        <f t="shared" si="0"/>
        <v>-5910.2107749999996</v>
      </c>
      <c r="O13" s="16">
        <v>-6647.4699060000003</v>
      </c>
      <c r="P13" s="285">
        <f t="shared" si="4"/>
        <v>737.25913100000071</v>
      </c>
      <c r="Q13" s="341">
        <f t="shared" si="5"/>
        <v>0.11090823146631341</v>
      </c>
      <c r="R13" s="341"/>
      <c r="S13" s="147"/>
      <c r="T13" s="147"/>
      <c r="V13" s="9" t="s">
        <v>240</v>
      </c>
      <c r="W13" s="867">
        <v>7365</v>
      </c>
      <c r="X13" s="867">
        <v>-12060</v>
      </c>
      <c r="Y13" s="867">
        <v>6628</v>
      </c>
      <c r="Z13" s="867">
        <v>-10674</v>
      </c>
      <c r="AA13" s="827">
        <v>7325.4518989999997</v>
      </c>
      <c r="AB13" s="827">
        <v>-10540.343586999999</v>
      </c>
      <c r="AC13" s="827">
        <f t="shared" si="6"/>
        <v>7375.4861460000002</v>
      </c>
      <c r="AD13" s="827">
        <f t="shared" si="7"/>
        <v>-8419.6260249999996</v>
      </c>
      <c r="AF13" s="344"/>
      <c r="AG13" s="147"/>
      <c r="AH13" s="147"/>
    </row>
    <row r="14" spans="1:1039">
      <c r="A14" t="s">
        <v>351</v>
      </c>
      <c r="B14" s="56" t="s">
        <v>254</v>
      </c>
      <c r="C14">
        <v>5</v>
      </c>
      <c r="D14" s="346" t="str">
        <f t="shared" si="1"/>
        <v>Alpes Maritimes5</v>
      </c>
      <c r="E14" t="s">
        <v>1836</v>
      </c>
      <c r="F14" t="s">
        <v>354</v>
      </c>
      <c r="G14">
        <v>120013042</v>
      </c>
      <c r="H14" s="349">
        <f t="shared" si="2"/>
        <v>-5</v>
      </c>
      <c r="I14" s="148">
        <f t="shared" si="3"/>
        <v>4.1183849798880179E-2</v>
      </c>
      <c r="J14" s="343" t="s">
        <v>262</v>
      </c>
      <c r="K14" s="344" t="s">
        <v>247</v>
      </c>
      <c r="L14" s="925">
        <v>9921056327</v>
      </c>
      <c r="M14" s="147">
        <v>10596357185</v>
      </c>
      <c r="N14" s="16">
        <f t="shared" si="0"/>
        <v>-675.30085799999995</v>
      </c>
      <c r="O14" s="16">
        <v>-964.81869500000005</v>
      </c>
      <c r="P14" s="285">
        <f t="shared" si="4"/>
        <v>289.5178370000001</v>
      </c>
      <c r="Q14" s="341">
        <f t="shared" si="5"/>
        <v>0.30007486225171048</v>
      </c>
      <c r="R14" s="341"/>
      <c r="S14" s="147"/>
      <c r="T14" s="147"/>
      <c r="V14" s="9" t="s">
        <v>241</v>
      </c>
      <c r="W14" s="867">
        <v>23437</v>
      </c>
      <c r="X14" s="867">
        <v>-30837</v>
      </c>
      <c r="Y14" s="867">
        <v>23122</v>
      </c>
      <c r="Z14" s="867">
        <v>-29366</v>
      </c>
      <c r="AA14" s="827">
        <v>21583.771218999998</v>
      </c>
      <c r="AB14" s="827">
        <v>-28231.241125</v>
      </c>
      <c r="AC14" s="827">
        <f t="shared" si="6"/>
        <v>22264.885485999999</v>
      </c>
      <c r="AD14" s="827">
        <f t="shared" si="7"/>
        <v>-28175.096260999999</v>
      </c>
      <c r="AF14" s="344"/>
      <c r="AG14" s="147"/>
      <c r="AH14" s="147"/>
    </row>
    <row r="15" spans="1:1039">
      <c r="A15" t="s">
        <v>355</v>
      </c>
      <c r="B15" s="56" t="s">
        <v>255</v>
      </c>
      <c r="C15">
        <v>-1</v>
      </c>
      <c r="D15" s="346" t="str">
        <f>CONCATENATE($K$6,C15)</f>
        <v>Bouches-du-Rhône-1</v>
      </c>
      <c r="E15" t="s">
        <v>1840</v>
      </c>
      <c r="F15" t="s">
        <v>357</v>
      </c>
      <c r="G15">
        <v>3382968252</v>
      </c>
      <c r="H15" s="349">
        <f t="shared" si="2"/>
        <v>1</v>
      </c>
      <c r="I15" s="148">
        <f t="shared" si="3"/>
        <v>0.21830601171496936</v>
      </c>
      <c r="J15" s="343" t="s">
        <v>263</v>
      </c>
      <c r="K15" s="344" t="s">
        <v>242</v>
      </c>
      <c r="L15" s="925">
        <v>19401893921</v>
      </c>
      <c r="M15" s="147">
        <v>18959887085</v>
      </c>
      <c r="N15" s="16">
        <f t="shared" si="0"/>
        <v>442.00683600000002</v>
      </c>
      <c r="O15" s="16">
        <v>541.25852099999997</v>
      </c>
      <c r="P15" s="285">
        <f t="shared" si="4"/>
        <v>-99.251684999999952</v>
      </c>
      <c r="Q15" s="341">
        <f t="shared" si="5"/>
        <v>0.18337205078384339</v>
      </c>
      <c r="R15" s="341"/>
      <c r="S15" s="147"/>
      <c r="T15" s="147"/>
      <c r="V15" t="s">
        <v>247</v>
      </c>
      <c r="W15" s="867">
        <v>9379</v>
      </c>
      <c r="X15" s="867">
        <v>-9929</v>
      </c>
      <c r="Y15" s="867">
        <v>9473</v>
      </c>
      <c r="Z15" s="867">
        <v>-10077</v>
      </c>
      <c r="AA15" s="827">
        <v>9534.0506679999999</v>
      </c>
      <c r="AB15" s="827">
        <v>-10498.869363</v>
      </c>
      <c r="AC15" s="827">
        <f t="shared" si="6"/>
        <v>9921.0563270000002</v>
      </c>
      <c r="AD15" s="827">
        <f t="shared" si="7"/>
        <v>-10596.357185000001</v>
      </c>
      <c r="AF15" s="344"/>
      <c r="AG15" s="147"/>
      <c r="AH15" s="147"/>
    </row>
    <row r="16" spans="1:1039">
      <c r="A16" t="s">
        <v>355</v>
      </c>
      <c r="B16" s="56" t="s">
        <v>255</v>
      </c>
      <c r="C16">
        <v>-2</v>
      </c>
      <c r="D16" s="346" t="str">
        <f t="shared" ref="D16:D24" si="8">CONCATENATE($K$6,C16)</f>
        <v>Bouches-du-Rhône-2</v>
      </c>
      <c r="E16" t="s">
        <v>1839</v>
      </c>
      <c r="F16" t="s">
        <v>360</v>
      </c>
      <c r="G16">
        <v>1013280171</v>
      </c>
      <c r="H16" s="349">
        <f t="shared" si="2"/>
        <v>2</v>
      </c>
      <c r="I16" s="148">
        <f t="shared" si="3"/>
        <v>6.5387889097125396E-2</v>
      </c>
      <c r="J16" s="343" t="s">
        <v>264</v>
      </c>
      <c r="K16" s="344" t="s">
        <v>243</v>
      </c>
      <c r="L16" s="925">
        <v>15004873131</v>
      </c>
      <c r="M16" s="147">
        <v>17334927556</v>
      </c>
      <c r="N16" s="16">
        <f t="shared" si="0"/>
        <v>-2330.0544249999998</v>
      </c>
      <c r="O16" s="16">
        <v>-3929.582637</v>
      </c>
      <c r="P16" s="285">
        <f t="shared" si="4"/>
        <v>1599.5282120000002</v>
      </c>
      <c r="Q16" s="341">
        <f t="shared" si="5"/>
        <v>0.40704786226894157</v>
      </c>
      <c r="R16" s="341"/>
      <c r="S16" s="147"/>
      <c r="T16" s="147"/>
      <c r="V16" s="9" t="s">
        <v>243</v>
      </c>
      <c r="W16" s="867">
        <v>13118</v>
      </c>
      <c r="X16" s="867">
        <v>-17703</v>
      </c>
      <c r="Y16" s="867">
        <v>13850</v>
      </c>
      <c r="Z16" s="867">
        <v>-17398</v>
      </c>
      <c r="AA16" s="827">
        <v>13939.792319</v>
      </c>
      <c r="AB16" s="827">
        <v>-17869.374956</v>
      </c>
      <c r="AC16" s="827">
        <f>L16/1000000</f>
        <v>15004.873131</v>
      </c>
      <c r="AD16" s="827">
        <f>M16/1000000*-1</f>
        <v>-17334.927555999999</v>
      </c>
      <c r="AF16" s="344"/>
      <c r="AG16" s="147"/>
      <c r="AH16" s="147"/>
    </row>
    <row r="17" spans="1:34">
      <c r="A17" t="s">
        <v>355</v>
      </c>
      <c r="B17" s="56" t="s">
        <v>255</v>
      </c>
      <c r="C17">
        <v>-3</v>
      </c>
      <c r="D17" s="346" t="str">
        <f t="shared" si="8"/>
        <v>Bouches-du-Rhône-3</v>
      </c>
      <c r="E17" t="s">
        <v>1841</v>
      </c>
      <c r="F17" t="s">
        <v>370</v>
      </c>
      <c r="G17">
        <v>566422614</v>
      </c>
      <c r="H17" s="349">
        <f t="shared" si="2"/>
        <v>3</v>
      </c>
      <c r="I17" s="148">
        <f t="shared" si="3"/>
        <v>3.6551765371845873E-2</v>
      </c>
      <c r="J17" s="343" t="s">
        <v>265</v>
      </c>
      <c r="K17" s="344" t="s">
        <v>244</v>
      </c>
      <c r="L17" s="925">
        <v>19314112248</v>
      </c>
      <c r="M17" s="147">
        <v>17312932378</v>
      </c>
      <c r="N17" s="16">
        <f t="shared" si="0"/>
        <v>2001.1798699999999</v>
      </c>
      <c r="O17" s="16">
        <v>-4422.6496960000004</v>
      </c>
      <c r="P17" s="285">
        <f t="shared" si="4"/>
        <v>6423.8295660000003</v>
      </c>
      <c r="Q17" s="341">
        <f t="shared" si="5"/>
        <v>1.4524843719388261</v>
      </c>
      <c r="R17" s="341"/>
      <c r="S17" s="147"/>
      <c r="T17" s="147"/>
      <c r="V17" s="9" t="s">
        <v>244</v>
      </c>
      <c r="W17" s="867">
        <v>20944</v>
      </c>
      <c r="X17" s="867">
        <v>-29767</v>
      </c>
      <c r="Y17" s="867">
        <v>20431</v>
      </c>
      <c r="Z17" s="867">
        <v>-25168</v>
      </c>
      <c r="AA17" s="827">
        <v>18765.491577000001</v>
      </c>
      <c r="AB17" s="827">
        <v>-23188.141273000001</v>
      </c>
      <c r="AC17" s="827">
        <f>L17/1000000</f>
        <v>19314.112248000001</v>
      </c>
      <c r="AD17" s="827">
        <f>M17/1000000*-1</f>
        <v>-17312.932378000001</v>
      </c>
      <c r="AF17" s="344"/>
      <c r="AG17" s="147"/>
      <c r="AH17" s="147"/>
    </row>
    <row r="18" spans="1:34">
      <c r="A18" t="s">
        <v>355</v>
      </c>
      <c r="B18" s="56" t="s">
        <v>255</v>
      </c>
      <c r="C18">
        <v>-4</v>
      </c>
      <c r="D18" s="346" t="str">
        <f t="shared" si="8"/>
        <v>Bouches-du-Rhône-4</v>
      </c>
      <c r="E18" t="s">
        <v>1842</v>
      </c>
      <c r="F18" t="s">
        <v>369</v>
      </c>
      <c r="G18">
        <v>505397180</v>
      </c>
      <c r="H18" s="349">
        <f t="shared" si="2"/>
        <v>4</v>
      </c>
      <c r="I18" s="148">
        <f t="shared" si="3"/>
        <v>3.261373872857512E-2</v>
      </c>
      <c r="J18" s="343" t="s">
        <v>266</v>
      </c>
      <c r="K18" s="344" t="s">
        <v>245</v>
      </c>
      <c r="L18" s="925">
        <v>1116664758</v>
      </c>
      <c r="M18" s="147">
        <v>1535370512</v>
      </c>
      <c r="N18" s="16">
        <f t="shared" si="0"/>
        <v>-418.70575400000001</v>
      </c>
      <c r="O18" s="16">
        <v>-418.59263299999998</v>
      </c>
      <c r="P18" s="285">
        <f t="shared" si="4"/>
        <v>-0.11312100000003511</v>
      </c>
      <c r="Q18" s="341">
        <f t="shared" si="5"/>
        <v>-2.7024125864163291E-4</v>
      </c>
      <c r="R18" s="341"/>
      <c r="S18" s="147"/>
      <c r="T18" s="147"/>
      <c r="V18" s="9" t="s">
        <v>245</v>
      </c>
      <c r="W18" s="867">
        <v>966</v>
      </c>
      <c r="X18" s="867">
        <v>-1247</v>
      </c>
      <c r="Y18" s="867">
        <v>1075</v>
      </c>
      <c r="Z18" s="867">
        <v>-1351</v>
      </c>
      <c r="AA18" s="827">
        <v>1043.4189389999999</v>
      </c>
      <c r="AB18" s="827">
        <v>-1462.0115719999999</v>
      </c>
      <c r="AC18" s="827">
        <f>L18/1000000</f>
        <v>1116.6647579999999</v>
      </c>
      <c r="AD18" s="827">
        <f>M18/1000000*-1</f>
        <v>-1535.370512</v>
      </c>
      <c r="AF18" s="344"/>
      <c r="AG18" s="147"/>
      <c r="AH18" s="147"/>
    </row>
    <row r="19" spans="1:34">
      <c r="A19" t="s">
        <v>355</v>
      </c>
      <c r="B19" s="56" t="s">
        <v>255</v>
      </c>
      <c r="C19">
        <v>-5</v>
      </c>
      <c r="D19" s="346" t="str">
        <f t="shared" si="8"/>
        <v>Bouches-du-Rhône-5</v>
      </c>
      <c r="E19" t="s">
        <v>108</v>
      </c>
      <c r="F19" t="s">
        <v>356</v>
      </c>
      <c r="G19">
        <v>471180002</v>
      </c>
      <c r="H19" s="349">
        <f t="shared" si="2"/>
        <v>5</v>
      </c>
      <c r="I19" s="148">
        <f t="shared" si="3"/>
        <v>3.0405673176406529E-2</v>
      </c>
      <c r="J19" s="343" t="s">
        <v>267</v>
      </c>
      <c r="K19" s="344" t="s">
        <v>246</v>
      </c>
      <c r="L19" s="925">
        <v>1274759896</v>
      </c>
      <c r="M19" s="147">
        <v>1791430061</v>
      </c>
      <c r="N19" s="16">
        <f t="shared" si="0"/>
        <v>-516.670165</v>
      </c>
      <c r="O19" s="16">
        <v>-563.54557</v>
      </c>
      <c r="P19" s="285">
        <f>(N19-O19)</f>
        <v>46.875405000000001</v>
      </c>
      <c r="Q19" s="341">
        <f t="shared" si="5"/>
        <v>8.3179440129393614E-2</v>
      </c>
      <c r="R19" s="341"/>
      <c r="V19" s="9" t="s">
        <v>246</v>
      </c>
      <c r="W19" s="867">
        <v>1411</v>
      </c>
      <c r="X19" s="867">
        <v>-1729</v>
      </c>
      <c r="Y19" s="867">
        <v>1472</v>
      </c>
      <c r="Z19" s="867">
        <v>-1884</v>
      </c>
      <c r="AA19" s="827">
        <v>1474.459654</v>
      </c>
      <c r="AB19" s="827">
        <v>-2038.005224</v>
      </c>
      <c r="AC19" s="827">
        <f>L19/1000000</f>
        <v>1274.759896</v>
      </c>
      <c r="AD19" s="827">
        <f>M19/1000000*-1</f>
        <v>-1791.430061</v>
      </c>
      <c r="AF19" s="344"/>
      <c r="AG19" s="147"/>
      <c r="AH19" s="147"/>
    </row>
    <row r="20" spans="1:34">
      <c r="A20" t="s">
        <v>351</v>
      </c>
      <c r="B20" s="56" t="s">
        <v>255</v>
      </c>
      <c r="C20">
        <v>1</v>
      </c>
      <c r="D20" s="346" t="str">
        <f t="shared" si="8"/>
        <v>Bouches-du-Rhône1</v>
      </c>
      <c r="E20" s="927" t="s">
        <v>1840</v>
      </c>
      <c r="F20" s="927" t="s">
        <v>357</v>
      </c>
      <c r="G20" s="925">
        <v>1950259791</v>
      </c>
      <c r="H20" s="349">
        <f t="shared" si="2"/>
        <v>-1</v>
      </c>
      <c r="I20" s="148">
        <f t="shared" si="3"/>
        <v>0.13969272919515069</v>
      </c>
      <c r="J20" s="9"/>
      <c r="N20" s="16"/>
    </row>
    <row r="21" spans="1:34">
      <c r="A21" t="s">
        <v>351</v>
      </c>
      <c r="B21" s="56" t="s">
        <v>255</v>
      </c>
      <c r="C21">
        <v>2</v>
      </c>
      <c r="D21" s="346" t="str">
        <f t="shared" si="8"/>
        <v>Bouches-du-Rhône2</v>
      </c>
      <c r="E21" s="927" t="s">
        <v>1843</v>
      </c>
      <c r="F21" s="927" t="s">
        <v>358</v>
      </c>
      <c r="G21" s="925">
        <v>1826506024</v>
      </c>
      <c r="H21" s="349">
        <f t="shared" si="2"/>
        <v>-2</v>
      </c>
      <c r="I21" s="148">
        <f t="shared" si="3"/>
        <v>0.13082852477469931</v>
      </c>
      <c r="J21" s="9"/>
      <c r="N21" s="16"/>
      <c r="V21" s="147" t="s">
        <v>1131</v>
      </c>
      <c r="W21" s="147">
        <v>2015</v>
      </c>
      <c r="X21" s="147"/>
      <c r="Y21" s="147"/>
      <c r="Z21" s="147">
        <v>2014</v>
      </c>
      <c r="AA21" s="147"/>
      <c r="AB21" s="147"/>
      <c r="AC21" s="147">
        <v>2013</v>
      </c>
      <c r="AD21" s="147"/>
      <c r="AE21" s="147"/>
      <c r="AF21" s="147">
        <v>2012</v>
      </c>
      <c r="AG21" s="147"/>
      <c r="AH21" s="147"/>
    </row>
    <row r="22" spans="1:34">
      <c r="A22" t="s">
        <v>351</v>
      </c>
      <c r="B22" s="56" t="s">
        <v>255</v>
      </c>
      <c r="C22">
        <v>3</v>
      </c>
      <c r="D22" s="346" t="str">
        <f t="shared" si="8"/>
        <v>Bouches-du-Rhône3</v>
      </c>
      <c r="E22" s="927" t="s">
        <v>1844</v>
      </c>
      <c r="F22" s="927" t="s">
        <v>359</v>
      </c>
      <c r="G22" s="925">
        <v>1274729571</v>
      </c>
      <c r="H22" s="349">
        <f t="shared" si="2"/>
        <v>-3</v>
      </c>
      <c r="I22" s="148">
        <f t="shared" si="3"/>
        <v>9.1306016552516633E-2</v>
      </c>
      <c r="J22" s="9"/>
      <c r="N22" s="16"/>
      <c r="V22" s="147" t="s">
        <v>1121</v>
      </c>
      <c r="W22" s="147" t="s">
        <v>762</v>
      </c>
      <c r="X22" s="147" t="s">
        <v>761</v>
      </c>
      <c r="Y22" s="147" t="s">
        <v>1122</v>
      </c>
      <c r="Z22" s="147" t="s">
        <v>762</v>
      </c>
      <c r="AA22" s="147" t="s">
        <v>761</v>
      </c>
      <c r="AB22" s="147" t="s">
        <v>1122</v>
      </c>
      <c r="AC22" s="147" t="s">
        <v>762</v>
      </c>
      <c r="AD22" s="147" t="s">
        <v>761</v>
      </c>
      <c r="AE22" s="147" t="s">
        <v>1122</v>
      </c>
      <c r="AF22" s="147" t="s">
        <v>762</v>
      </c>
      <c r="AG22" s="147" t="s">
        <v>761</v>
      </c>
      <c r="AH22" s="147" t="s">
        <v>1122</v>
      </c>
    </row>
    <row r="23" spans="1:34">
      <c r="A23" t="s">
        <v>351</v>
      </c>
      <c r="B23" s="56" t="s">
        <v>255</v>
      </c>
      <c r="C23">
        <v>4</v>
      </c>
      <c r="D23" s="346" t="str">
        <f t="shared" si="8"/>
        <v>Bouches-du-Rhône4</v>
      </c>
      <c r="E23" s="927" t="s">
        <v>108</v>
      </c>
      <c r="F23" s="927" t="s">
        <v>356</v>
      </c>
      <c r="G23" s="925">
        <v>1249044527</v>
      </c>
      <c r="H23" s="349">
        <f t="shared" si="2"/>
        <v>-4</v>
      </c>
      <c r="I23" s="148">
        <f t="shared" si="3"/>
        <v>8.9466254530853981E-2</v>
      </c>
      <c r="J23" s="9"/>
      <c r="L23" s="21"/>
      <c r="N23" s="16"/>
      <c r="V23" s="147" t="s">
        <v>234</v>
      </c>
      <c r="W23" s="147">
        <v>3059</v>
      </c>
      <c r="X23" s="147">
        <v>3191</v>
      </c>
      <c r="Y23" s="147">
        <v>-132</v>
      </c>
      <c r="Z23" s="147">
        <v>2438</v>
      </c>
      <c r="AA23" s="147">
        <v>3002</v>
      </c>
      <c r="AB23" s="147">
        <v>-564</v>
      </c>
      <c r="AC23" s="147">
        <v>2387</v>
      </c>
      <c r="AD23" s="147">
        <v>2852</v>
      </c>
      <c r="AE23" s="147">
        <v>-465</v>
      </c>
      <c r="AF23" s="147">
        <v>2490</v>
      </c>
      <c r="AG23" s="147">
        <v>2927</v>
      </c>
      <c r="AH23" s="147">
        <v>-437</v>
      </c>
    </row>
    <row r="24" spans="1:34">
      <c r="A24" t="s">
        <v>351</v>
      </c>
      <c r="B24" s="56" t="s">
        <v>255</v>
      </c>
      <c r="C24">
        <v>5</v>
      </c>
      <c r="D24" s="346" t="str">
        <f t="shared" si="8"/>
        <v>Bouches-du-Rhône5</v>
      </c>
      <c r="E24" s="927" t="s">
        <v>1835</v>
      </c>
      <c r="F24" s="927" t="s">
        <v>353</v>
      </c>
      <c r="G24" s="925">
        <v>769472920</v>
      </c>
      <c r="H24" s="349">
        <f t="shared" si="2"/>
        <v>-5</v>
      </c>
      <c r="I24" s="148">
        <f t="shared" si="3"/>
        <v>5.5115617279606753E-2</v>
      </c>
      <c r="J24" s="9"/>
      <c r="N24" s="16"/>
      <c r="V24" s="147" t="s">
        <v>235</v>
      </c>
      <c r="W24" s="147">
        <v>14707</v>
      </c>
      <c r="X24" s="147">
        <v>23619</v>
      </c>
      <c r="Y24" s="147">
        <v>-8912</v>
      </c>
      <c r="Z24" s="147">
        <v>15873</v>
      </c>
      <c r="AA24" s="147">
        <v>27441</v>
      </c>
      <c r="AB24" s="147">
        <v>-11568</v>
      </c>
      <c r="AC24" s="147">
        <v>15513</v>
      </c>
      <c r="AD24" s="147">
        <v>30339</v>
      </c>
      <c r="AE24" s="147">
        <v>-14826</v>
      </c>
      <c r="AF24" s="147">
        <v>17289</v>
      </c>
      <c r="AG24" s="147">
        <v>31614</v>
      </c>
      <c r="AH24" s="147">
        <v>-14325</v>
      </c>
    </row>
    <row r="25" spans="1:34">
      <c r="A25" t="s">
        <v>355</v>
      </c>
      <c r="B25" s="56" t="s">
        <v>256</v>
      </c>
      <c r="C25">
        <v>-1</v>
      </c>
      <c r="D25" s="346" t="str">
        <f>CONCATENATE($K$7,C25)</f>
        <v>Haute-Garonne-1</v>
      </c>
      <c r="E25" t="s">
        <v>1835</v>
      </c>
      <c r="F25" t="s">
        <v>353</v>
      </c>
      <c r="G25">
        <v>25593469626</v>
      </c>
      <c r="H25" s="349">
        <f t="shared" si="2"/>
        <v>1</v>
      </c>
      <c r="I25" s="148">
        <f t="shared" si="3"/>
        <v>0.82071038843100386</v>
      </c>
      <c r="J25" s="9"/>
      <c r="N25" s="16"/>
      <c r="V25" s="147" t="s">
        <v>236</v>
      </c>
      <c r="W25" s="147">
        <v>44666</v>
      </c>
      <c r="X25" s="147">
        <v>30992</v>
      </c>
      <c r="Y25" s="147">
        <v>13674</v>
      </c>
      <c r="Z25" s="147">
        <v>41085</v>
      </c>
      <c r="AA25" s="147">
        <v>28593</v>
      </c>
      <c r="AB25" s="147">
        <v>12492</v>
      </c>
      <c r="AC25" s="147">
        <v>40227</v>
      </c>
      <c r="AD25" s="147">
        <v>26232</v>
      </c>
      <c r="AE25" s="147">
        <v>13995</v>
      </c>
      <c r="AF25" s="147">
        <v>40759</v>
      </c>
      <c r="AG25" s="147">
        <v>26325</v>
      </c>
      <c r="AH25" s="147">
        <v>14434</v>
      </c>
    </row>
    <row r="26" spans="1:34">
      <c r="A26" t="s">
        <v>355</v>
      </c>
      <c r="B26" s="56" t="s">
        <v>256</v>
      </c>
      <c r="C26">
        <v>-2</v>
      </c>
      <c r="D26" s="346" t="str">
        <f t="shared" ref="D26:D34" si="9">CONCATENATE($K$7,C26)</f>
        <v>Haute-Garonne-2</v>
      </c>
      <c r="E26" t="s">
        <v>1845</v>
      </c>
      <c r="F26" s="346" t="s">
        <v>1846</v>
      </c>
      <c r="G26">
        <v>372130419</v>
      </c>
      <c r="H26" s="349">
        <f t="shared" si="2"/>
        <v>2</v>
      </c>
      <c r="I26" s="148">
        <f t="shared" si="3"/>
        <v>1.1933173000280498E-2</v>
      </c>
      <c r="J26" s="9"/>
      <c r="N26" s="16"/>
      <c r="V26" s="147" t="s">
        <v>114</v>
      </c>
      <c r="W26" s="147">
        <v>6852</v>
      </c>
      <c r="X26" s="147">
        <v>6906</v>
      </c>
      <c r="Y26" s="147">
        <v>-54</v>
      </c>
      <c r="Z26" s="147">
        <v>6375</v>
      </c>
      <c r="AA26" s="147">
        <v>7099</v>
      </c>
      <c r="AB26" s="147">
        <v>-724</v>
      </c>
      <c r="AC26" s="147">
        <v>7043</v>
      </c>
      <c r="AD26" s="147">
        <v>7533</v>
      </c>
      <c r="AE26" s="147">
        <v>-490</v>
      </c>
      <c r="AF26" s="147">
        <v>7269</v>
      </c>
      <c r="AG26" s="147">
        <v>7384</v>
      </c>
      <c r="AH26" s="147">
        <v>-115</v>
      </c>
    </row>
    <row r="27" spans="1:34">
      <c r="A27" t="s">
        <v>355</v>
      </c>
      <c r="B27" s="56" t="s">
        <v>256</v>
      </c>
      <c r="C27">
        <v>-3</v>
      </c>
      <c r="D27" s="346" t="str">
        <f t="shared" si="9"/>
        <v>Haute-Garonne-3</v>
      </c>
      <c r="E27" t="s">
        <v>1847</v>
      </c>
      <c r="F27" t="s">
        <v>1848</v>
      </c>
      <c r="G27">
        <v>311289447</v>
      </c>
      <c r="H27" s="349">
        <f t="shared" si="2"/>
        <v>3</v>
      </c>
      <c r="I27" s="148">
        <f t="shared" si="3"/>
        <v>9.9821746209160268E-3</v>
      </c>
      <c r="J27" s="9"/>
      <c r="N27" s="16"/>
      <c r="V27" s="147" t="s">
        <v>237</v>
      </c>
      <c r="W27" s="147">
        <v>2276</v>
      </c>
      <c r="X27" s="147">
        <v>4428</v>
      </c>
      <c r="Y27" s="147">
        <v>-2152</v>
      </c>
      <c r="Z27" s="147">
        <v>2264</v>
      </c>
      <c r="AA27" s="147">
        <v>3903</v>
      </c>
      <c r="AB27" s="147">
        <v>-1639</v>
      </c>
      <c r="AC27" s="147">
        <v>2181</v>
      </c>
      <c r="AD27" s="147">
        <v>3881</v>
      </c>
      <c r="AE27" s="147">
        <v>-1700</v>
      </c>
      <c r="AF27" s="147">
        <v>2130</v>
      </c>
      <c r="AG27" s="147">
        <v>4351</v>
      </c>
      <c r="AH27" s="147">
        <v>-2221</v>
      </c>
    </row>
    <row r="28" spans="1:34">
      <c r="A28" t="s">
        <v>355</v>
      </c>
      <c r="B28" s="56" t="s">
        <v>256</v>
      </c>
      <c r="C28">
        <v>-4</v>
      </c>
      <c r="D28" s="346" t="str">
        <f t="shared" si="9"/>
        <v>Haute-Garonne-4</v>
      </c>
      <c r="E28" t="s">
        <v>1849</v>
      </c>
      <c r="F28" t="s">
        <v>1850</v>
      </c>
      <c r="G28">
        <v>217179250</v>
      </c>
      <c r="H28" s="349">
        <f t="shared" si="2"/>
        <v>4</v>
      </c>
      <c r="I28" s="148">
        <f t="shared" si="3"/>
        <v>6.9643260265728731E-3</v>
      </c>
      <c r="J28" s="9"/>
      <c r="N28" s="16"/>
      <c r="V28" s="147" t="s">
        <v>238</v>
      </c>
      <c r="W28" s="147">
        <v>4176</v>
      </c>
      <c r="X28" s="147">
        <v>4506</v>
      </c>
      <c r="Y28" s="147">
        <v>-330</v>
      </c>
      <c r="Z28" s="147">
        <v>4020</v>
      </c>
      <c r="AA28" s="147">
        <v>4462</v>
      </c>
      <c r="AB28" s="147">
        <v>-442</v>
      </c>
      <c r="AC28" s="147">
        <v>4247</v>
      </c>
      <c r="AD28" s="147">
        <v>4412</v>
      </c>
      <c r="AE28" s="147">
        <v>-165</v>
      </c>
      <c r="AF28" s="147">
        <v>5018</v>
      </c>
      <c r="AG28" s="147">
        <v>4893</v>
      </c>
      <c r="AH28" s="147">
        <v>125</v>
      </c>
    </row>
    <row r="29" spans="1:34">
      <c r="A29" t="s">
        <v>355</v>
      </c>
      <c r="B29" s="56" t="s">
        <v>256</v>
      </c>
      <c r="C29">
        <v>-5</v>
      </c>
      <c r="D29" s="346" t="str">
        <f t="shared" si="9"/>
        <v>Haute-Garonne-5</v>
      </c>
      <c r="E29" t="s">
        <v>1851</v>
      </c>
      <c r="F29" t="s">
        <v>1852</v>
      </c>
      <c r="G29">
        <v>214152413</v>
      </c>
      <c r="H29" s="349">
        <f t="shared" si="2"/>
        <v>5</v>
      </c>
      <c r="I29" s="148">
        <f t="shared" si="3"/>
        <v>6.8672639007146532E-3</v>
      </c>
      <c r="J29" s="9"/>
      <c r="N29" s="16"/>
      <c r="V29" s="147" t="s">
        <v>239</v>
      </c>
      <c r="W29" s="147">
        <v>10281</v>
      </c>
      <c r="X29" s="147">
        <v>10331</v>
      </c>
      <c r="Y29" s="147">
        <v>-50</v>
      </c>
      <c r="Z29" s="147">
        <v>10034</v>
      </c>
      <c r="AA29" s="147">
        <v>9468</v>
      </c>
      <c r="AB29" s="147">
        <v>566</v>
      </c>
      <c r="AC29" s="147">
        <v>9721</v>
      </c>
      <c r="AD29" s="147">
        <v>9179</v>
      </c>
      <c r="AE29" s="147">
        <v>542</v>
      </c>
      <c r="AF29" s="147">
        <v>10240</v>
      </c>
      <c r="AG29" s="147">
        <v>9392</v>
      </c>
      <c r="AH29" s="147">
        <v>848</v>
      </c>
    </row>
    <row r="30" spans="1:34">
      <c r="A30" t="s">
        <v>351</v>
      </c>
      <c r="B30" s="56" t="s">
        <v>256</v>
      </c>
      <c r="C30">
        <v>1</v>
      </c>
      <c r="D30" s="346" t="str">
        <f t="shared" si="9"/>
        <v>Haute-Garonne1</v>
      </c>
      <c r="E30" s="927" t="s">
        <v>1835</v>
      </c>
      <c r="F30" s="927" t="s">
        <v>353</v>
      </c>
      <c r="G30" s="925">
        <v>37225010587</v>
      </c>
      <c r="H30" s="349">
        <f t="shared" si="2"/>
        <v>-1</v>
      </c>
      <c r="I30" s="148">
        <f t="shared" si="3"/>
        <v>0.90260130808451966</v>
      </c>
      <c r="J30" s="9"/>
      <c r="V30" s="147" t="s">
        <v>243</v>
      </c>
      <c r="W30" s="147">
        <v>13850</v>
      </c>
      <c r="X30" s="147">
        <v>17398</v>
      </c>
      <c r="Y30" s="147">
        <v>-3548</v>
      </c>
      <c r="Z30" s="147">
        <v>13118</v>
      </c>
      <c r="AA30" s="147">
        <v>17703</v>
      </c>
      <c r="AB30" s="147">
        <v>-4585</v>
      </c>
      <c r="AC30" s="147">
        <v>13862</v>
      </c>
      <c r="AD30" s="147">
        <v>17543</v>
      </c>
      <c r="AE30" s="147">
        <v>-3681</v>
      </c>
      <c r="AF30" s="147">
        <v>15773</v>
      </c>
      <c r="AG30" s="147">
        <v>18347</v>
      </c>
      <c r="AH30" s="147">
        <v>-2574</v>
      </c>
    </row>
    <row r="31" spans="1:34">
      <c r="A31" t="s">
        <v>351</v>
      </c>
      <c r="B31" s="56" t="s">
        <v>256</v>
      </c>
      <c r="C31">
        <v>2</v>
      </c>
      <c r="D31" s="346" t="str">
        <f t="shared" si="9"/>
        <v>Haute-Garonne2</v>
      </c>
      <c r="E31" s="927" t="s">
        <v>1845</v>
      </c>
      <c r="F31" s="927" t="s">
        <v>1846</v>
      </c>
      <c r="G31" s="925">
        <v>620674069</v>
      </c>
      <c r="H31" s="349">
        <f t="shared" si="2"/>
        <v>-2</v>
      </c>
      <c r="I31" s="148">
        <f t="shared" si="3"/>
        <v>1.5049592135487158E-2</v>
      </c>
      <c r="J31" s="9"/>
      <c r="V31" s="147" t="s">
        <v>240</v>
      </c>
      <c r="W31" s="147">
        <v>6628</v>
      </c>
      <c r="X31" s="147">
        <v>10674</v>
      </c>
      <c r="Y31" s="147">
        <v>-4046</v>
      </c>
      <c r="Z31" s="147">
        <v>7365</v>
      </c>
      <c r="AA31" s="147">
        <v>12060</v>
      </c>
      <c r="AB31" s="147">
        <v>-4695</v>
      </c>
      <c r="AC31" s="147">
        <v>8389</v>
      </c>
      <c r="AD31" s="147">
        <v>12685</v>
      </c>
      <c r="AE31" s="147">
        <v>-4296</v>
      </c>
      <c r="AF31" s="147">
        <v>8355</v>
      </c>
      <c r="AG31" s="147">
        <v>14495</v>
      </c>
      <c r="AH31" s="147">
        <v>-6140</v>
      </c>
    </row>
    <row r="32" spans="1:34">
      <c r="A32" t="s">
        <v>351</v>
      </c>
      <c r="B32" s="56" t="s">
        <v>256</v>
      </c>
      <c r="C32">
        <v>3</v>
      </c>
      <c r="D32" s="346" t="str">
        <f t="shared" si="9"/>
        <v>Haute-Garonne3</v>
      </c>
      <c r="E32" s="927" t="s">
        <v>1834</v>
      </c>
      <c r="F32" s="927" t="s">
        <v>352</v>
      </c>
      <c r="G32" s="925">
        <v>248228045</v>
      </c>
      <c r="H32" s="349">
        <f t="shared" si="2"/>
        <v>-3</v>
      </c>
      <c r="I32" s="148">
        <f t="shared" si="3"/>
        <v>6.0188285936581517E-3</v>
      </c>
      <c r="J32" s="9"/>
      <c r="V32" s="147" t="s">
        <v>241</v>
      </c>
      <c r="W32" s="147">
        <v>23122</v>
      </c>
      <c r="X32" s="147">
        <v>29366</v>
      </c>
      <c r="Y32" s="147">
        <v>-6244</v>
      </c>
      <c r="Z32" s="147">
        <v>23437</v>
      </c>
      <c r="AA32" s="147">
        <v>30837</v>
      </c>
      <c r="AB32" s="147">
        <v>-7400</v>
      </c>
      <c r="AC32" s="147">
        <v>23056</v>
      </c>
      <c r="AD32" s="147">
        <v>29626</v>
      </c>
      <c r="AE32" s="147">
        <v>-6570</v>
      </c>
      <c r="AF32" s="147">
        <v>23032</v>
      </c>
      <c r="AG32" s="147">
        <v>29603</v>
      </c>
      <c r="AH32" s="147">
        <v>-6571</v>
      </c>
    </row>
    <row r="33" spans="1:34">
      <c r="A33" t="s">
        <v>351</v>
      </c>
      <c r="B33" s="56" t="s">
        <v>256</v>
      </c>
      <c r="C33">
        <v>4</v>
      </c>
      <c r="D33" s="346" t="str">
        <f t="shared" si="9"/>
        <v>Haute-Garonne4</v>
      </c>
      <c r="E33" s="927" t="s">
        <v>1851</v>
      </c>
      <c r="F33" s="927" t="s">
        <v>1852</v>
      </c>
      <c r="G33" s="925">
        <v>245152434</v>
      </c>
      <c r="H33" s="349">
        <f t="shared" si="2"/>
        <v>-4</v>
      </c>
      <c r="I33" s="148">
        <f t="shared" si="3"/>
        <v>5.9442537186484819E-3</v>
      </c>
      <c r="J33" s="9"/>
      <c r="V33" s="147" t="s">
        <v>247</v>
      </c>
      <c r="W33" s="147">
        <v>9473</v>
      </c>
      <c r="X33" s="147">
        <v>10077</v>
      </c>
      <c r="Y33" s="147">
        <v>-604</v>
      </c>
      <c r="Z33" s="147">
        <v>9379</v>
      </c>
      <c r="AA33" s="147">
        <v>9929</v>
      </c>
      <c r="AB33" s="147">
        <v>-550</v>
      </c>
      <c r="AC33" s="147">
        <v>9429</v>
      </c>
      <c r="AD33" s="147">
        <v>10128</v>
      </c>
      <c r="AE33" s="147">
        <v>-699</v>
      </c>
      <c r="AF33" s="147">
        <v>9771</v>
      </c>
      <c r="AG33" s="147">
        <v>10155</v>
      </c>
      <c r="AH33" s="147">
        <v>-384</v>
      </c>
    </row>
    <row r="34" spans="1:34">
      <c r="A34" t="s">
        <v>351</v>
      </c>
      <c r="B34" s="56" t="s">
        <v>256</v>
      </c>
      <c r="C34">
        <v>5</v>
      </c>
      <c r="D34" s="346" t="str">
        <f t="shared" si="9"/>
        <v>Haute-Garonne5</v>
      </c>
      <c r="E34" s="927" t="s">
        <v>1853</v>
      </c>
      <c r="F34" s="927" t="s">
        <v>361</v>
      </c>
      <c r="G34" s="925">
        <v>239037794</v>
      </c>
      <c r="H34" s="349">
        <f t="shared" si="2"/>
        <v>-5</v>
      </c>
      <c r="I34" s="148">
        <f t="shared" si="3"/>
        <v>5.795990978747655E-3</v>
      </c>
      <c r="J34" s="9"/>
      <c r="V34" s="147" t="s">
        <v>242</v>
      </c>
      <c r="W34" s="147">
        <v>18196</v>
      </c>
      <c r="X34" s="147">
        <v>18626</v>
      </c>
      <c r="Y34" s="147">
        <v>-430</v>
      </c>
      <c r="Z34" s="147">
        <v>16718</v>
      </c>
      <c r="AA34" s="147">
        <v>18051</v>
      </c>
      <c r="AB34" s="147">
        <v>-1333</v>
      </c>
      <c r="AC34" s="147">
        <v>16517</v>
      </c>
      <c r="AD34" s="147">
        <v>17313</v>
      </c>
      <c r="AE34" s="147">
        <v>-796</v>
      </c>
      <c r="AF34" s="147">
        <v>15147</v>
      </c>
      <c r="AG34" s="147">
        <v>16981</v>
      </c>
      <c r="AH34" s="147">
        <v>-1834</v>
      </c>
    </row>
    <row r="35" spans="1:34">
      <c r="A35" t="s">
        <v>355</v>
      </c>
      <c r="B35" s="56" t="s">
        <v>71</v>
      </c>
      <c r="C35">
        <v>-1</v>
      </c>
      <c r="D35" s="346" t="str">
        <f>CONCATENATE($K$8,C35)</f>
        <v>Gironde-1</v>
      </c>
      <c r="E35" t="s">
        <v>1840</v>
      </c>
      <c r="F35" t="s">
        <v>357</v>
      </c>
      <c r="G35">
        <v>1326380256</v>
      </c>
      <c r="H35" s="349">
        <f t="shared" si="2"/>
        <v>1</v>
      </c>
      <c r="I35" s="148">
        <f t="shared" si="3"/>
        <v>0.17749755649411292</v>
      </c>
      <c r="J35" s="9"/>
      <c r="V35" s="147" t="s">
        <v>245</v>
      </c>
      <c r="W35" s="147">
        <v>1075</v>
      </c>
      <c r="X35" s="147">
        <v>1351</v>
      </c>
      <c r="Y35" s="147">
        <v>-276</v>
      </c>
      <c r="Z35" s="147">
        <v>966</v>
      </c>
      <c r="AA35" s="147">
        <v>1247</v>
      </c>
      <c r="AB35" s="147">
        <v>-281</v>
      </c>
      <c r="AC35" s="147">
        <v>987</v>
      </c>
      <c r="AD35" s="147">
        <v>1203</v>
      </c>
      <c r="AE35" s="147">
        <v>-216</v>
      </c>
      <c r="AF35" s="147">
        <v>1019</v>
      </c>
      <c r="AG35" s="147">
        <v>1214</v>
      </c>
      <c r="AH35" s="147">
        <v>-195</v>
      </c>
    </row>
    <row r="36" spans="1:34">
      <c r="A36" t="s">
        <v>355</v>
      </c>
      <c r="B36" s="56" t="s">
        <v>71</v>
      </c>
      <c r="C36">
        <v>-2</v>
      </c>
      <c r="D36" s="346" t="str">
        <f t="shared" ref="D36:D44" si="10">CONCATENATE($K$8,C36)</f>
        <v>Gironde-2</v>
      </c>
      <c r="E36" t="s">
        <v>1835</v>
      </c>
      <c r="F36" t="s">
        <v>353</v>
      </c>
      <c r="G36">
        <v>747090630</v>
      </c>
      <c r="H36" s="349">
        <f t="shared" si="2"/>
        <v>2</v>
      </c>
      <c r="I36" s="148">
        <f t="shared" si="3"/>
        <v>9.9976428859513591E-2</v>
      </c>
      <c r="J36" s="9"/>
      <c r="V36" s="147" t="s">
        <v>246</v>
      </c>
      <c r="W36" s="147">
        <v>1472</v>
      </c>
      <c r="X36" s="147">
        <v>1884</v>
      </c>
      <c r="Y36" s="147">
        <v>-412</v>
      </c>
      <c r="Z36" s="147">
        <v>1411</v>
      </c>
      <c r="AA36" s="147">
        <v>1729</v>
      </c>
      <c r="AB36" s="147">
        <v>-318</v>
      </c>
      <c r="AC36" s="147">
        <v>1405</v>
      </c>
      <c r="AD36" s="147">
        <v>1862</v>
      </c>
      <c r="AE36" s="147">
        <v>-457</v>
      </c>
      <c r="AF36" s="147">
        <v>1391</v>
      </c>
      <c r="AG36" s="147">
        <v>1928</v>
      </c>
      <c r="AH36" s="147">
        <v>-537</v>
      </c>
    </row>
    <row r="37" spans="1:34">
      <c r="A37" t="s">
        <v>355</v>
      </c>
      <c r="B37" s="56" t="s">
        <v>71</v>
      </c>
      <c r="C37">
        <v>-3</v>
      </c>
      <c r="D37" s="346" t="str">
        <f t="shared" si="10"/>
        <v>Gironde-3</v>
      </c>
      <c r="E37" t="s">
        <v>1839</v>
      </c>
      <c r="F37" t="s">
        <v>360</v>
      </c>
      <c r="G37">
        <v>583863319</v>
      </c>
      <c r="H37" s="349">
        <f t="shared" si="2"/>
        <v>3</v>
      </c>
      <c r="I37" s="148">
        <f t="shared" si="3"/>
        <v>7.8133183889192923E-2</v>
      </c>
      <c r="J37" s="9"/>
    </row>
    <row r="38" spans="1:34">
      <c r="A38" t="s">
        <v>355</v>
      </c>
      <c r="B38" s="56" t="s">
        <v>71</v>
      </c>
      <c r="C38">
        <v>-4</v>
      </c>
      <c r="D38" s="346" t="str">
        <f t="shared" si="10"/>
        <v>Gironde-4</v>
      </c>
      <c r="E38" t="s">
        <v>1854</v>
      </c>
      <c r="F38" t="s">
        <v>372</v>
      </c>
      <c r="G38">
        <v>336012219</v>
      </c>
      <c r="H38" s="349">
        <f t="shared" si="2"/>
        <v>4</v>
      </c>
      <c r="I38" s="148">
        <f t="shared" si="3"/>
        <v>4.4965497303561149E-2</v>
      </c>
      <c r="J38" s="9"/>
    </row>
    <row r="39" spans="1:34">
      <c r="A39" t="s">
        <v>355</v>
      </c>
      <c r="B39" s="56" t="s">
        <v>71</v>
      </c>
      <c r="C39">
        <v>-5</v>
      </c>
      <c r="D39" s="346" t="str">
        <f t="shared" si="10"/>
        <v>Gironde-5</v>
      </c>
      <c r="E39" t="s">
        <v>1855</v>
      </c>
      <c r="F39" t="s">
        <v>363</v>
      </c>
      <c r="G39">
        <v>278810235</v>
      </c>
      <c r="H39" s="349">
        <f t="shared" si="2"/>
        <v>5</v>
      </c>
      <c r="I39" s="148">
        <f t="shared" si="3"/>
        <v>3.7310669556626305E-2</v>
      </c>
      <c r="J39" s="9"/>
    </row>
    <row r="40" spans="1:34">
      <c r="A40" t="s">
        <v>351</v>
      </c>
      <c r="B40" s="56" t="s">
        <v>71</v>
      </c>
      <c r="C40">
        <v>1</v>
      </c>
      <c r="D40" s="346" t="str">
        <f t="shared" si="10"/>
        <v>Gironde1</v>
      </c>
      <c r="E40" s="927" t="s">
        <v>1855</v>
      </c>
      <c r="F40" s="927" t="s">
        <v>363</v>
      </c>
      <c r="G40" s="925">
        <v>2149523570</v>
      </c>
      <c r="H40" s="349">
        <f t="shared" si="2"/>
        <v>-1</v>
      </c>
      <c r="I40" s="148">
        <f t="shared" si="3"/>
        <v>0.30698088298234905</v>
      </c>
      <c r="J40" s="9"/>
    </row>
    <row r="41" spans="1:34">
      <c r="A41" t="s">
        <v>351</v>
      </c>
      <c r="B41" s="56" t="s">
        <v>71</v>
      </c>
      <c r="C41">
        <v>2</v>
      </c>
      <c r="D41" s="346" t="str">
        <f t="shared" si="10"/>
        <v>Gironde2</v>
      </c>
      <c r="E41" s="927" t="s">
        <v>1835</v>
      </c>
      <c r="F41" s="927" t="s">
        <v>353</v>
      </c>
      <c r="G41" s="925">
        <v>1514510892</v>
      </c>
      <c r="H41" s="349">
        <f t="shared" si="2"/>
        <v>-2</v>
      </c>
      <c r="I41" s="148">
        <f t="shared" si="3"/>
        <v>0.21629252984304101</v>
      </c>
      <c r="J41" s="9"/>
    </row>
    <row r="42" spans="1:34">
      <c r="A42" t="s">
        <v>351</v>
      </c>
      <c r="B42" s="56" t="s">
        <v>71</v>
      </c>
      <c r="C42">
        <v>3</v>
      </c>
      <c r="D42" s="346" t="str">
        <f t="shared" si="10"/>
        <v>Gironde3</v>
      </c>
      <c r="E42" s="927" t="s">
        <v>1856</v>
      </c>
      <c r="F42" s="927" t="s">
        <v>364</v>
      </c>
      <c r="G42" s="925">
        <v>378331319</v>
      </c>
      <c r="H42" s="349">
        <f t="shared" si="2"/>
        <v>-3</v>
      </c>
      <c r="I42" s="148">
        <f t="shared" si="3"/>
        <v>5.4030801982086089E-2</v>
      </c>
      <c r="J42" s="9"/>
    </row>
    <row r="43" spans="1:34">
      <c r="A43" t="s">
        <v>351</v>
      </c>
      <c r="B43" s="56" t="s">
        <v>71</v>
      </c>
      <c r="C43">
        <v>4</v>
      </c>
      <c r="D43" s="346" t="str">
        <f t="shared" si="10"/>
        <v>Gironde4</v>
      </c>
      <c r="E43" s="927" t="s">
        <v>1834</v>
      </c>
      <c r="F43" s="927" t="s">
        <v>352</v>
      </c>
      <c r="G43" s="925">
        <v>368685836</v>
      </c>
      <c r="H43" s="349">
        <f t="shared" si="2"/>
        <v>-4</v>
      </c>
      <c r="I43" s="148">
        <f t="shared" si="3"/>
        <v>5.2653297250592854E-2</v>
      </c>
      <c r="J43" s="9"/>
    </row>
    <row r="44" spans="1:34">
      <c r="A44" t="s">
        <v>351</v>
      </c>
      <c r="B44" s="56" t="s">
        <v>71</v>
      </c>
      <c r="C44">
        <v>5</v>
      </c>
      <c r="D44" s="346" t="str">
        <f t="shared" si="10"/>
        <v>Gironde5</v>
      </c>
      <c r="E44" s="927" t="s">
        <v>1857</v>
      </c>
      <c r="F44" s="927" t="s">
        <v>1858</v>
      </c>
      <c r="G44" s="925">
        <v>220078407</v>
      </c>
      <c r="H44" s="349">
        <f t="shared" si="2"/>
        <v>-5</v>
      </c>
      <c r="I44" s="148">
        <f t="shared" si="3"/>
        <v>3.1430157198140789E-2</v>
      </c>
      <c r="J44" s="9"/>
    </row>
    <row r="45" spans="1:34">
      <c r="A45" t="s">
        <v>355</v>
      </c>
      <c r="B45" s="56" t="s">
        <v>257</v>
      </c>
      <c r="C45">
        <v>-1</v>
      </c>
      <c r="D45" s="346" t="str">
        <f>CONCATENATE($K$9,C45)</f>
        <v>Hérault-1</v>
      </c>
      <c r="E45" t="s">
        <v>1839</v>
      </c>
      <c r="F45" t="s">
        <v>360</v>
      </c>
      <c r="G45">
        <v>821713933</v>
      </c>
      <c r="H45" s="349">
        <f t="shared" si="2"/>
        <v>1</v>
      </c>
      <c r="I45" s="148">
        <f t="shared" si="3"/>
        <v>0.19772249692576027</v>
      </c>
      <c r="J45" s="9"/>
    </row>
    <row r="46" spans="1:34">
      <c r="A46" t="s">
        <v>355</v>
      </c>
      <c r="B46" s="56" t="s">
        <v>257</v>
      </c>
      <c r="C46">
        <v>-2</v>
      </c>
      <c r="D46" s="346" t="str">
        <f t="shared" ref="D46:D54" si="11">CONCATENATE($K$9,C46)</f>
        <v>Hérault-2</v>
      </c>
      <c r="E46" t="s">
        <v>1840</v>
      </c>
      <c r="F46" t="s">
        <v>357</v>
      </c>
      <c r="G46">
        <v>639184146</v>
      </c>
      <c r="H46" s="349">
        <f t="shared" si="2"/>
        <v>2</v>
      </c>
      <c r="I46" s="148">
        <f t="shared" si="3"/>
        <v>0.15380180409144859</v>
      </c>
      <c r="J46" s="9"/>
    </row>
    <row r="47" spans="1:34">
      <c r="A47" t="s">
        <v>355</v>
      </c>
      <c r="B47" s="56" t="s">
        <v>257</v>
      </c>
      <c r="C47">
        <v>-3</v>
      </c>
      <c r="D47" s="346" t="str">
        <f t="shared" si="11"/>
        <v>Hérault-3</v>
      </c>
      <c r="E47" t="s">
        <v>1859</v>
      </c>
      <c r="F47" t="s">
        <v>1439</v>
      </c>
      <c r="G47">
        <v>342301032</v>
      </c>
      <c r="H47" s="349">
        <f t="shared" si="2"/>
        <v>3</v>
      </c>
      <c r="I47" s="148">
        <f t="shared" si="3"/>
        <v>8.2365178475444653E-2</v>
      </c>
      <c r="J47" s="9"/>
    </row>
    <row r="48" spans="1:34">
      <c r="A48" t="s">
        <v>355</v>
      </c>
      <c r="B48" s="56" t="s">
        <v>257</v>
      </c>
      <c r="C48">
        <v>-4</v>
      </c>
      <c r="D48" s="346" t="str">
        <f t="shared" si="11"/>
        <v>Hérault-4</v>
      </c>
      <c r="E48" t="s">
        <v>1860</v>
      </c>
      <c r="F48" t="s">
        <v>1440</v>
      </c>
      <c r="G48">
        <v>124703871</v>
      </c>
      <c r="H48" s="349">
        <f t="shared" si="2"/>
        <v>4</v>
      </c>
      <c r="I48" s="148">
        <f t="shared" si="3"/>
        <v>3.0006501971322791E-2</v>
      </c>
      <c r="J48" s="9"/>
    </row>
    <row r="49" spans="1:10">
      <c r="A49" t="s">
        <v>355</v>
      </c>
      <c r="B49" s="56" t="s">
        <v>257</v>
      </c>
      <c r="C49">
        <v>-5</v>
      </c>
      <c r="D49" s="346" t="str">
        <f t="shared" si="11"/>
        <v>Hérault-5</v>
      </c>
      <c r="E49" t="s">
        <v>1842</v>
      </c>
      <c r="F49" t="s">
        <v>369</v>
      </c>
      <c r="G49">
        <v>109228982</v>
      </c>
      <c r="H49" s="349">
        <f t="shared" si="2"/>
        <v>5</v>
      </c>
      <c r="I49" s="148">
        <f t="shared" si="3"/>
        <v>2.6282902346380102E-2</v>
      </c>
      <c r="J49" s="9"/>
    </row>
    <row r="50" spans="1:10">
      <c r="A50" t="s">
        <v>351</v>
      </c>
      <c r="B50" s="56" t="s">
        <v>257</v>
      </c>
      <c r="C50">
        <v>1</v>
      </c>
      <c r="D50" s="346" t="str">
        <f t="shared" si="11"/>
        <v>Hérault1</v>
      </c>
      <c r="E50" s="927" t="s">
        <v>1855</v>
      </c>
      <c r="F50" s="927" t="s">
        <v>363</v>
      </c>
      <c r="G50" s="925">
        <v>385901922</v>
      </c>
      <c r="H50" s="349">
        <f t="shared" si="2"/>
        <v>-1</v>
      </c>
      <c r="I50" s="148">
        <f>IF(A50="E",(G50/(VLOOKUP(B50,$J$1:$M$19,MATCH("Export N",$J$4:$M$4,0),FALSE))),(G50/(VLOOKUP(B50,$J$1:$M$19,MATCH("Import N",$J$4:$M$4,0),FALSE))))</f>
        <v>0.21572650002511282</v>
      </c>
      <c r="J50" s="9"/>
    </row>
    <row r="51" spans="1:10">
      <c r="A51" t="s">
        <v>351</v>
      </c>
      <c r="B51" s="56" t="s">
        <v>257</v>
      </c>
      <c r="C51">
        <v>2</v>
      </c>
      <c r="D51" s="346" t="str">
        <f t="shared" si="11"/>
        <v>Hérault2</v>
      </c>
      <c r="E51" s="927" t="s">
        <v>1835</v>
      </c>
      <c r="F51" s="927" t="s">
        <v>353</v>
      </c>
      <c r="G51" s="925">
        <v>102457969</v>
      </c>
      <c r="H51" s="349">
        <f t="shared" si="2"/>
        <v>-2</v>
      </c>
      <c r="I51" s="148">
        <f t="shared" si="3"/>
        <v>5.7275949644146909E-2</v>
      </c>
      <c r="J51" s="9"/>
    </row>
    <row r="52" spans="1:10">
      <c r="A52" t="s">
        <v>351</v>
      </c>
      <c r="B52" s="56" t="s">
        <v>257</v>
      </c>
      <c r="C52">
        <v>3</v>
      </c>
      <c r="D52" s="346" t="str">
        <f t="shared" si="11"/>
        <v>Hérault3</v>
      </c>
      <c r="E52" s="927" t="s">
        <v>1861</v>
      </c>
      <c r="F52" s="927" t="s">
        <v>365</v>
      </c>
      <c r="G52" s="925">
        <v>89161620</v>
      </c>
      <c r="H52" s="349">
        <f t="shared" si="2"/>
        <v>-3</v>
      </c>
      <c r="I52" s="148">
        <f t="shared" si="3"/>
        <v>4.9843038146799121E-2</v>
      </c>
      <c r="J52" s="9"/>
    </row>
    <row r="53" spans="1:10">
      <c r="A53" t="s">
        <v>351</v>
      </c>
      <c r="B53" s="56" t="s">
        <v>257</v>
      </c>
      <c r="C53">
        <v>4</v>
      </c>
      <c r="D53" s="346" t="str">
        <f t="shared" si="11"/>
        <v>Hérault4</v>
      </c>
      <c r="E53" s="927" t="s">
        <v>1862</v>
      </c>
      <c r="F53" s="927" t="s">
        <v>1863</v>
      </c>
      <c r="G53" s="925">
        <v>83701422</v>
      </c>
      <c r="H53" s="349">
        <f t="shared" si="2"/>
        <v>-4</v>
      </c>
      <c r="I53" s="148">
        <f t="shared" si="3"/>
        <v>4.6790683813139902E-2</v>
      </c>
      <c r="J53" s="9"/>
    </row>
    <row r="54" spans="1:10">
      <c r="A54" t="s">
        <v>351</v>
      </c>
      <c r="B54" s="56" t="s">
        <v>257</v>
      </c>
      <c r="C54">
        <v>5</v>
      </c>
      <c r="D54" s="346" t="str">
        <f t="shared" si="11"/>
        <v>Hérault5</v>
      </c>
      <c r="E54" s="927" t="s">
        <v>1834</v>
      </c>
      <c r="F54" s="927" t="s">
        <v>352</v>
      </c>
      <c r="G54" s="925">
        <v>79091602</v>
      </c>
      <c r="H54" s="349">
        <f t="shared" si="2"/>
        <v>-5</v>
      </c>
      <c r="I54" s="148">
        <f t="shared" si="3"/>
        <v>4.4213706924318488E-2</v>
      </c>
      <c r="J54" s="9"/>
    </row>
    <row r="55" spans="1:10">
      <c r="A55" t="s">
        <v>355</v>
      </c>
      <c r="B55" s="56" t="s">
        <v>258</v>
      </c>
      <c r="C55">
        <v>-1</v>
      </c>
      <c r="D55" s="346" t="str">
        <f>CONCATENATE($K$10,C55)</f>
        <v>Ille-et-Vilaine-1</v>
      </c>
      <c r="E55" t="s">
        <v>1856</v>
      </c>
      <c r="F55" t="s">
        <v>364</v>
      </c>
      <c r="G55">
        <v>378774617</v>
      </c>
      <c r="H55" s="349">
        <f t="shared" si="2"/>
        <v>1</v>
      </c>
      <c r="I55" s="148">
        <f t="shared" si="3"/>
        <v>7.9732787982558645E-2</v>
      </c>
      <c r="J55" s="9"/>
    </row>
    <row r="56" spans="1:10">
      <c r="A56" t="s">
        <v>355</v>
      </c>
      <c r="B56" s="56" t="s">
        <v>258</v>
      </c>
      <c r="C56">
        <v>-2</v>
      </c>
      <c r="D56" s="346" t="str">
        <f t="shared" ref="D56:D64" si="12">CONCATENATE($K$10,C56)</f>
        <v>Ille-et-Vilaine-2</v>
      </c>
      <c r="E56" t="s">
        <v>1864</v>
      </c>
      <c r="F56" t="s">
        <v>366</v>
      </c>
      <c r="G56">
        <v>260353698</v>
      </c>
      <c r="H56" s="349">
        <f t="shared" si="2"/>
        <v>2</v>
      </c>
      <c r="I56" s="148">
        <f t="shared" si="3"/>
        <v>5.4804955959097713E-2</v>
      </c>
      <c r="J56" s="9"/>
    </row>
    <row r="57" spans="1:10">
      <c r="A57" t="s">
        <v>355</v>
      </c>
      <c r="B57" s="56" t="s">
        <v>258</v>
      </c>
      <c r="C57">
        <v>-3</v>
      </c>
      <c r="D57" s="346" t="str">
        <f t="shared" si="12"/>
        <v>Ille-et-Vilaine-3</v>
      </c>
      <c r="E57" t="s">
        <v>1842</v>
      </c>
      <c r="F57" t="s">
        <v>369</v>
      </c>
      <c r="G57">
        <v>157773345</v>
      </c>
      <c r="H57" s="349">
        <f t="shared" si="2"/>
        <v>3</v>
      </c>
      <c r="I57" s="148">
        <f t="shared" si="3"/>
        <v>3.3211593653816776E-2</v>
      </c>
      <c r="J57" s="9"/>
    </row>
    <row r="58" spans="1:10">
      <c r="A58" t="s">
        <v>355</v>
      </c>
      <c r="B58" s="56" t="s">
        <v>258</v>
      </c>
      <c r="C58">
        <v>-4</v>
      </c>
      <c r="D58" s="346" t="str">
        <f t="shared" si="12"/>
        <v>Ille-et-Vilaine-4</v>
      </c>
      <c r="E58" t="s">
        <v>1841</v>
      </c>
      <c r="F58" t="s">
        <v>370</v>
      </c>
      <c r="G58">
        <v>156705080</v>
      </c>
      <c r="H58" s="349">
        <f t="shared" si="2"/>
        <v>4</v>
      </c>
      <c r="I58" s="148">
        <f t="shared" si="3"/>
        <v>3.2986721809370588E-2</v>
      </c>
      <c r="J58" s="9"/>
    </row>
    <row r="59" spans="1:10">
      <c r="A59" t="s">
        <v>355</v>
      </c>
      <c r="B59" s="56" t="s">
        <v>258</v>
      </c>
      <c r="C59">
        <v>-5</v>
      </c>
      <c r="D59" s="346" t="str">
        <f t="shared" si="12"/>
        <v>Ille-et-Vilaine-5</v>
      </c>
      <c r="E59" t="s">
        <v>1839</v>
      </c>
      <c r="F59" t="s">
        <v>360</v>
      </c>
      <c r="G59">
        <v>144021443</v>
      </c>
      <c r="H59" s="349">
        <f t="shared" si="2"/>
        <v>5</v>
      </c>
      <c r="I59" s="148">
        <f t="shared" si="3"/>
        <v>3.0316791739139044E-2</v>
      </c>
      <c r="J59" s="9"/>
    </row>
    <row r="60" spans="1:10">
      <c r="A60" t="s">
        <v>351</v>
      </c>
      <c r="B60" s="56" t="s">
        <v>258</v>
      </c>
      <c r="C60">
        <v>1</v>
      </c>
      <c r="D60" s="346" t="str">
        <f t="shared" si="12"/>
        <v>Ille-et-Vilaine1</v>
      </c>
      <c r="E60" s="927" t="s">
        <v>1839</v>
      </c>
      <c r="F60" s="927" t="s">
        <v>360</v>
      </c>
      <c r="G60" s="925">
        <v>1047556842</v>
      </c>
      <c r="H60" s="349">
        <f t="shared" si="2"/>
        <v>-1</v>
      </c>
      <c r="I60" s="148">
        <f t="shared" si="3"/>
        <v>0.22183823050514145</v>
      </c>
      <c r="J60" s="9"/>
    </row>
    <row r="61" spans="1:10">
      <c r="A61" t="s">
        <v>351</v>
      </c>
      <c r="B61" s="56" t="s">
        <v>258</v>
      </c>
      <c r="C61">
        <v>2</v>
      </c>
      <c r="D61" s="346" t="str">
        <f t="shared" si="12"/>
        <v>Ille-et-Vilaine2</v>
      </c>
      <c r="E61" s="927" t="s">
        <v>1864</v>
      </c>
      <c r="F61" s="927" t="s">
        <v>366</v>
      </c>
      <c r="G61" s="925">
        <v>443904934</v>
      </c>
      <c r="H61" s="349">
        <f t="shared" si="2"/>
        <v>-2</v>
      </c>
      <c r="I61" s="148">
        <f t="shared" si="3"/>
        <v>9.4004526649888093E-2</v>
      </c>
      <c r="J61" s="9"/>
    </row>
    <row r="62" spans="1:10">
      <c r="A62" t="s">
        <v>351</v>
      </c>
      <c r="B62" s="56" t="s">
        <v>258</v>
      </c>
      <c r="C62">
        <v>3</v>
      </c>
      <c r="D62" s="346" t="str">
        <f t="shared" si="12"/>
        <v>Ille-et-Vilaine3</v>
      </c>
      <c r="E62" s="927" t="s">
        <v>1865</v>
      </c>
      <c r="F62" s="927" t="s">
        <v>368</v>
      </c>
      <c r="G62" s="925">
        <v>296092975</v>
      </c>
      <c r="H62" s="349">
        <f t="shared" si="2"/>
        <v>-3</v>
      </c>
      <c r="I62" s="148">
        <f t="shared" si="3"/>
        <v>6.2702794736749085E-2</v>
      </c>
      <c r="J62" s="9"/>
    </row>
    <row r="63" spans="1:10">
      <c r="A63" t="s">
        <v>351</v>
      </c>
      <c r="B63" s="56" t="s">
        <v>258</v>
      </c>
      <c r="C63">
        <v>4</v>
      </c>
      <c r="D63" s="346" t="str">
        <f t="shared" si="12"/>
        <v>Ille-et-Vilaine4</v>
      </c>
      <c r="E63" s="927" t="s">
        <v>1866</v>
      </c>
      <c r="F63" s="927" t="s">
        <v>367</v>
      </c>
      <c r="G63" s="925">
        <v>263273065</v>
      </c>
      <c r="H63" s="349">
        <f t="shared" si="2"/>
        <v>-4</v>
      </c>
      <c r="I63" s="148">
        <f t="shared" si="3"/>
        <v>5.5752612686639384E-2</v>
      </c>
      <c r="J63" s="9"/>
    </row>
    <row r="64" spans="1:10">
      <c r="A64" t="s">
        <v>351</v>
      </c>
      <c r="B64" s="56" t="s">
        <v>258</v>
      </c>
      <c r="C64">
        <v>5</v>
      </c>
      <c r="D64" s="346" t="str">
        <f t="shared" si="12"/>
        <v>Ille-et-Vilaine5</v>
      </c>
      <c r="E64" s="927" t="s">
        <v>1860</v>
      </c>
      <c r="F64" s="927" t="s">
        <v>1440</v>
      </c>
      <c r="G64" s="925">
        <v>180331098</v>
      </c>
      <c r="H64" s="349">
        <f t="shared" si="2"/>
        <v>-5</v>
      </c>
      <c r="I64" s="148">
        <f t="shared" si="3"/>
        <v>3.8188220516027382E-2</v>
      </c>
      <c r="J64" s="9"/>
    </row>
    <row r="65" spans="1:10">
      <c r="A65" t="s">
        <v>355</v>
      </c>
      <c r="B65" s="56" t="s">
        <v>259</v>
      </c>
      <c r="C65">
        <v>-1</v>
      </c>
      <c r="D65" s="346" t="str">
        <f>CONCATENATE($K$11,C65)</f>
        <v>Isère-1</v>
      </c>
      <c r="E65" t="s">
        <v>1854</v>
      </c>
      <c r="F65" t="s">
        <v>372</v>
      </c>
      <c r="G65">
        <v>1728715662</v>
      </c>
      <c r="H65" s="349">
        <f t="shared" si="2"/>
        <v>1</v>
      </c>
      <c r="I65" s="148">
        <f t="shared" si="3"/>
        <v>0.14720217362780519</v>
      </c>
      <c r="J65" s="9"/>
    </row>
    <row r="66" spans="1:10">
      <c r="A66" t="s">
        <v>355</v>
      </c>
      <c r="B66" s="56" t="s">
        <v>259</v>
      </c>
      <c r="C66">
        <v>-2</v>
      </c>
      <c r="D66" s="346" t="str">
        <f t="shared" ref="D66:D74" si="13">CONCATENATE($K$11,C66)</f>
        <v>Isère-2</v>
      </c>
      <c r="E66" t="s">
        <v>1837</v>
      </c>
      <c r="F66" t="s">
        <v>1838</v>
      </c>
      <c r="G66">
        <v>448032823</v>
      </c>
      <c r="H66" s="349">
        <f t="shared" si="2"/>
        <v>2</v>
      </c>
      <c r="I66" s="148">
        <f t="shared" si="3"/>
        <v>3.8150522293469977E-2</v>
      </c>
      <c r="J66" s="9"/>
    </row>
    <row r="67" spans="1:10">
      <c r="A67" t="s">
        <v>355</v>
      </c>
      <c r="B67" s="56" t="s">
        <v>259</v>
      </c>
      <c r="C67">
        <v>-3</v>
      </c>
      <c r="D67" s="346" t="str">
        <f t="shared" si="13"/>
        <v>Isère-3</v>
      </c>
      <c r="E67" t="s">
        <v>1867</v>
      </c>
      <c r="F67" t="s">
        <v>371</v>
      </c>
      <c r="G67">
        <v>380316394</v>
      </c>
      <c r="H67" s="349">
        <f t="shared" si="2"/>
        <v>3</v>
      </c>
      <c r="I67" s="148">
        <f t="shared" si="3"/>
        <v>3.238438864973317E-2</v>
      </c>
      <c r="J67" s="9"/>
    </row>
    <row r="68" spans="1:10">
      <c r="A68" t="s">
        <v>355</v>
      </c>
      <c r="B68" s="56" t="s">
        <v>259</v>
      </c>
      <c r="C68">
        <v>-4</v>
      </c>
      <c r="D68" s="346" t="str">
        <f t="shared" si="13"/>
        <v>Isère-4</v>
      </c>
      <c r="E68" t="s">
        <v>1868</v>
      </c>
      <c r="F68" t="s">
        <v>1128</v>
      </c>
      <c r="G68">
        <v>304598457</v>
      </c>
      <c r="H68" s="349">
        <f t="shared" si="2"/>
        <v>4</v>
      </c>
      <c r="I68" s="148">
        <f t="shared" si="3"/>
        <v>2.5936917180585797E-2</v>
      </c>
      <c r="J68" s="9"/>
    </row>
    <row r="69" spans="1:10">
      <c r="A69" t="s">
        <v>355</v>
      </c>
      <c r="B69" s="56" t="s">
        <v>259</v>
      </c>
      <c r="C69">
        <v>-5</v>
      </c>
      <c r="D69" s="346" t="str">
        <f t="shared" si="13"/>
        <v>Isère-5</v>
      </c>
      <c r="E69" t="s">
        <v>1860</v>
      </c>
      <c r="F69" t="s">
        <v>1440</v>
      </c>
      <c r="G69">
        <v>293898167</v>
      </c>
      <c r="H69" s="349">
        <f t="shared" si="2"/>
        <v>5</v>
      </c>
      <c r="I69" s="148">
        <f t="shared" si="3"/>
        <v>2.5025774890924592E-2</v>
      </c>
      <c r="J69" s="9"/>
    </row>
    <row r="70" spans="1:10">
      <c r="A70" t="s">
        <v>351</v>
      </c>
      <c r="B70" s="56" t="s">
        <v>259</v>
      </c>
      <c r="C70">
        <v>1</v>
      </c>
      <c r="D70" s="346" t="str">
        <f t="shared" si="13"/>
        <v>Isère1</v>
      </c>
      <c r="E70" s="927" t="s">
        <v>1834</v>
      </c>
      <c r="F70" s="927" t="s">
        <v>352</v>
      </c>
      <c r="G70" s="925">
        <v>836474365</v>
      </c>
      <c r="H70" s="349">
        <f t="shared" ref="H70:H133" si="14">C70*-1</f>
        <v>-1</v>
      </c>
      <c r="I70" s="148">
        <f t="shared" ref="I70:I133" si="15">IF(A70="E",(G70/(VLOOKUP(B70,$J$1:$M$19,MATCH("Export N",$J$4:$M$4,0),FALSE))),(G70/(VLOOKUP(B70,$J$1:$M$19,MATCH("Import N",$J$4:$M$4,0),FALSE))))</f>
        <v>7.4250409381725987E-2</v>
      </c>
      <c r="J70" s="9"/>
    </row>
    <row r="71" spans="1:10">
      <c r="A71" t="s">
        <v>351</v>
      </c>
      <c r="B71" s="56" t="s">
        <v>259</v>
      </c>
      <c r="C71">
        <v>2</v>
      </c>
      <c r="D71" s="346" t="str">
        <f t="shared" si="13"/>
        <v>Isère2</v>
      </c>
      <c r="E71" s="927" t="s">
        <v>1869</v>
      </c>
      <c r="F71" s="927" t="s">
        <v>362</v>
      </c>
      <c r="G71" s="925">
        <v>782320497</v>
      </c>
      <c r="H71" s="349">
        <f t="shared" si="14"/>
        <v>-2</v>
      </c>
      <c r="I71" s="148">
        <f t="shared" si="15"/>
        <v>6.9443391932238516E-2</v>
      </c>
      <c r="J71" s="9"/>
    </row>
    <row r="72" spans="1:10">
      <c r="A72" t="s">
        <v>351</v>
      </c>
      <c r="B72" s="56" t="s">
        <v>259</v>
      </c>
      <c r="C72">
        <v>3</v>
      </c>
      <c r="D72" s="346" t="str">
        <f t="shared" si="13"/>
        <v>Isère3</v>
      </c>
      <c r="E72" s="927" t="s">
        <v>1867</v>
      </c>
      <c r="F72" s="927" t="s">
        <v>371</v>
      </c>
      <c r="G72" s="925">
        <v>770008506</v>
      </c>
      <c r="H72" s="349">
        <f t="shared" si="14"/>
        <v>-3</v>
      </c>
      <c r="I72" s="148">
        <f t="shared" si="15"/>
        <v>6.8350506829831195E-2</v>
      </c>
      <c r="J72" s="9"/>
    </row>
    <row r="73" spans="1:10">
      <c r="A73" t="s">
        <v>351</v>
      </c>
      <c r="B73" s="56" t="s">
        <v>259</v>
      </c>
      <c r="C73">
        <v>4</v>
      </c>
      <c r="D73" s="346" t="str">
        <f t="shared" si="13"/>
        <v>Isère4</v>
      </c>
      <c r="E73" s="927" t="s">
        <v>1870</v>
      </c>
      <c r="F73" s="927" t="s">
        <v>1871</v>
      </c>
      <c r="G73" s="925">
        <v>738176206</v>
      </c>
      <c r="H73" s="349">
        <f t="shared" si="14"/>
        <v>-4</v>
      </c>
      <c r="I73" s="148">
        <f t="shared" si="15"/>
        <v>6.5524883708001372E-2</v>
      </c>
      <c r="J73" s="9"/>
    </row>
    <row r="74" spans="1:10">
      <c r="A74" t="s">
        <v>351</v>
      </c>
      <c r="B74" s="56" t="s">
        <v>259</v>
      </c>
      <c r="C74">
        <v>5</v>
      </c>
      <c r="D74" s="346" t="str">
        <f t="shared" si="13"/>
        <v>Isère5</v>
      </c>
      <c r="E74" s="927" t="s">
        <v>1837</v>
      </c>
      <c r="F74" s="927" t="s">
        <v>1838</v>
      </c>
      <c r="G74" s="925">
        <v>557633481</v>
      </c>
      <c r="H74" s="349">
        <f t="shared" si="14"/>
        <v>-5</v>
      </c>
      <c r="I74" s="148">
        <f t="shared" si="15"/>
        <v>4.9498844174629214E-2</v>
      </c>
      <c r="J74" s="9"/>
    </row>
    <row r="75" spans="1:10">
      <c r="A75" t="s">
        <v>355</v>
      </c>
      <c r="B75" s="56" t="s">
        <v>260</v>
      </c>
      <c r="C75">
        <v>-1</v>
      </c>
      <c r="D75" s="346" t="str">
        <f>CONCATENATE($K$12,C75)</f>
        <v>Loire-Atlantique-1</v>
      </c>
      <c r="E75" t="s">
        <v>1835</v>
      </c>
      <c r="F75" t="s">
        <v>353</v>
      </c>
      <c r="G75">
        <v>1286284419</v>
      </c>
      <c r="H75" s="349">
        <f t="shared" si="14"/>
        <v>1</v>
      </c>
      <c r="I75" s="148">
        <f t="shared" si="15"/>
        <v>0.15277215581555476</v>
      </c>
      <c r="J75" s="9"/>
    </row>
    <row r="76" spans="1:10">
      <c r="A76" t="s">
        <v>355</v>
      </c>
      <c r="B76" s="56" t="s">
        <v>260</v>
      </c>
      <c r="C76">
        <v>-2</v>
      </c>
      <c r="D76" s="346" t="str">
        <f t="shared" ref="D76:D84" si="16">CONCATENATE($K$12,C76)</f>
        <v>Loire-Atlantique-2</v>
      </c>
      <c r="E76" t="s">
        <v>1839</v>
      </c>
      <c r="F76" t="s">
        <v>360</v>
      </c>
      <c r="G76">
        <v>694664758</v>
      </c>
      <c r="H76" s="349">
        <f t="shared" si="14"/>
        <v>2</v>
      </c>
      <c r="I76" s="148">
        <f t="shared" si="15"/>
        <v>8.2505417216556243E-2</v>
      </c>
      <c r="J76" s="9"/>
    </row>
    <row r="77" spans="1:10">
      <c r="A77" t="s">
        <v>355</v>
      </c>
      <c r="B77" s="56" t="s">
        <v>260</v>
      </c>
      <c r="C77">
        <v>-3</v>
      </c>
      <c r="D77" s="346" t="str">
        <f t="shared" si="16"/>
        <v>Loire-Atlantique-3</v>
      </c>
      <c r="E77" t="s">
        <v>1872</v>
      </c>
      <c r="F77" t="s">
        <v>374</v>
      </c>
      <c r="G77">
        <v>621441025</v>
      </c>
      <c r="H77" s="349">
        <f t="shared" si="14"/>
        <v>3</v>
      </c>
      <c r="I77" s="148">
        <f t="shared" si="15"/>
        <v>7.3808625603415681E-2</v>
      </c>
      <c r="J77" s="9"/>
    </row>
    <row r="78" spans="1:10">
      <c r="A78" t="s">
        <v>355</v>
      </c>
      <c r="B78" s="56" t="s">
        <v>260</v>
      </c>
      <c r="C78">
        <v>-4</v>
      </c>
      <c r="D78" s="346" t="str">
        <f t="shared" si="16"/>
        <v>Loire-Atlantique-4</v>
      </c>
      <c r="E78" t="s">
        <v>1873</v>
      </c>
      <c r="F78" t="s">
        <v>373</v>
      </c>
      <c r="G78">
        <v>350737913</v>
      </c>
      <c r="H78" s="349">
        <f t="shared" si="14"/>
        <v>4</v>
      </c>
      <c r="I78" s="148">
        <f t="shared" si="15"/>
        <v>4.1657184292814238E-2</v>
      </c>
      <c r="J78" s="9"/>
    </row>
    <row r="79" spans="1:10">
      <c r="A79" t="s">
        <v>355</v>
      </c>
      <c r="B79" s="56" t="s">
        <v>260</v>
      </c>
      <c r="C79">
        <v>-5</v>
      </c>
      <c r="D79" s="346" t="str">
        <f t="shared" si="16"/>
        <v>Loire-Atlantique-5</v>
      </c>
      <c r="E79" t="s">
        <v>1840</v>
      </c>
      <c r="F79" t="s">
        <v>357</v>
      </c>
      <c r="G79">
        <v>313700795</v>
      </c>
      <c r="H79" s="349">
        <f t="shared" si="14"/>
        <v>5</v>
      </c>
      <c r="I79" s="148">
        <f t="shared" si="15"/>
        <v>3.7258281314222624E-2</v>
      </c>
      <c r="J79" s="9"/>
    </row>
    <row r="80" spans="1:10">
      <c r="A80" t="s">
        <v>351</v>
      </c>
      <c r="B80" s="56" t="s">
        <v>260</v>
      </c>
      <c r="C80">
        <v>1</v>
      </c>
      <c r="D80" s="346" t="str">
        <f t="shared" si="16"/>
        <v>Loire-Atlantique1</v>
      </c>
      <c r="E80" s="927" t="s">
        <v>1840</v>
      </c>
      <c r="F80" s="927" t="s">
        <v>357</v>
      </c>
      <c r="G80" s="925">
        <v>1346158318</v>
      </c>
      <c r="H80" s="349">
        <f t="shared" si="14"/>
        <v>-1</v>
      </c>
      <c r="I80" s="148">
        <f t="shared" si="15"/>
        <v>0.18251791018956379</v>
      </c>
      <c r="J80" s="9"/>
    </row>
    <row r="81" spans="1:10">
      <c r="A81" t="s">
        <v>351</v>
      </c>
      <c r="B81" s="56" t="s">
        <v>260</v>
      </c>
      <c r="C81">
        <v>2</v>
      </c>
      <c r="D81" s="346" t="str">
        <f t="shared" si="16"/>
        <v>Loire-Atlantique2</v>
      </c>
      <c r="E81" s="927" t="s">
        <v>1835</v>
      </c>
      <c r="F81" s="927" t="s">
        <v>353</v>
      </c>
      <c r="G81" s="925">
        <v>919647780</v>
      </c>
      <c r="H81" s="349">
        <f t="shared" si="14"/>
        <v>-2</v>
      </c>
      <c r="I81" s="148">
        <f t="shared" si="15"/>
        <v>0.12468978475388488</v>
      </c>
      <c r="J81" s="9"/>
    </row>
    <row r="82" spans="1:10">
      <c r="A82" t="s">
        <v>351</v>
      </c>
      <c r="B82" s="56" t="s">
        <v>260</v>
      </c>
      <c r="C82">
        <v>3</v>
      </c>
      <c r="D82" s="346" t="str">
        <f t="shared" si="16"/>
        <v>Loire-Atlantique3</v>
      </c>
      <c r="E82" s="927" t="s">
        <v>1873</v>
      </c>
      <c r="F82" s="927" t="s">
        <v>373</v>
      </c>
      <c r="G82" s="925">
        <v>803057177</v>
      </c>
      <c r="H82" s="349">
        <f t="shared" si="14"/>
        <v>-3</v>
      </c>
      <c r="I82" s="148">
        <f t="shared" si="15"/>
        <v>0.10888193145553229</v>
      </c>
      <c r="J82" s="9"/>
    </row>
    <row r="83" spans="1:10">
      <c r="A83" t="s">
        <v>351</v>
      </c>
      <c r="B83" s="56" t="s">
        <v>260</v>
      </c>
      <c r="C83">
        <v>4</v>
      </c>
      <c r="D83" s="346" t="str">
        <f t="shared" si="16"/>
        <v>Loire-Atlantique4</v>
      </c>
      <c r="E83" s="927" t="s">
        <v>1874</v>
      </c>
      <c r="F83" s="927" t="s">
        <v>1441</v>
      </c>
      <c r="G83" s="925">
        <v>743046221</v>
      </c>
      <c r="H83" s="349">
        <f t="shared" si="14"/>
        <v>-4</v>
      </c>
      <c r="I83" s="148">
        <f t="shared" si="15"/>
        <v>0.10074538902130289</v>
      </c>
      <c r="J83" s="9"/>
    </row>
    <row r="84" spans="1:10">
      <c r="A84" t="s">
        <v>351</v>
      </c>
      <c r="B84" s="56" t="s">
        <v>260</v>
      </c>
      <c r="C84">
        <v>5</v>
      </c>
      <c r="D84" s="346" t="str">
        <f t="shared" si="16"/>
        <v>Loire-Atlantique5</v>
      </c>
      <c r="E84" s="927" t="s">
        <v>1875</v>
      </c>
      <c r="F84" s="927" t="s">
        <v>1442</v>
      </c>
      <c r="G84" s="925">
        <v>294502914</v>
      </c>
      <c r="H84" s="349">
        <f t="shared" si="14"/>
        <v>-5</v>
      </c>
      <c r="I84" s="148">
        <f t="shared" si="15"/>
        <v>3.9929966400888688E-2</v>
      </c>
      <c r="J84" s="9"/>
    </row>
    <row r="85" spans="1:10">
      <c r="A85" t="s">
        <v>355</v>
      </c>
      <c r="B85" s="56" t="s">
        <v>261</v>
      </c>
      <c r="C85">
        <v>-1</v>
      </c>
      <c r="D85" s="346" t="str">
        <f>CONCATENATE($K$13,C85)</f>
        <v>Nord-1</v>
      </c>
      <c r="E85" t="s">
        <v>1839</v>
      </c>
      <c r="F85" t="s">
        <v>360</v>
      </c>
      <c r="G85">
        <v>2691060674</v>
      </c>
      <c r="H85" s="349">
        <f t="shared" si="14"/>
        <v>1</v>
      </c>
      <c r="I85" s="148">
        <f t="shared" si="15"/>
        <v>9.5512031230394381E-2</v>
      </c>
      <c r="J85" s="9"/>
    </row>
    <row r="86" spans="1:10">
      <c r="A86" t="s">
        <v>355</v>
      </c>
      <c r="B86" s="56" t="s">
        <v>261</v>
      </c>
      <c r="C86">
        <v>-2</v>
      </c>
      <c r="D86" s="346" t="str">
        <f t="shared" ref="D86:D94" si="17">CONCATENATE($K$13,C86)</f>
        <v>Nord-2</v>
      </c>
      <c r="E86" t="s">
        <v>1840</v>
      </c>
      <c r="F86" t="s">
        <v>357</v>
      </c>
      <c r="G86">
        <v>1708487147</v>
      </c>
      <c r="H86" s="349">
        <f t="shared" si="14"/>
        <v>2</v>
      </c>
      <c r="I86" s="148">
        <f t="shared" si="15"/>
        <v>6.0638200883980288E-2</v>
      </c>
      <c r="J86" s="9"/>
    </row>
    <row r="87" spans="1:10">
      <c r="A87" t="s">
        <v>355</v>
      </c>
      <c r="B87" s="56" t="s">
        <v>261</v>
      </c>
      <c r="C87">
        <v>-3</v>
      </c>
      <c r="D87" s="346" t="str">
        <f t="shared" si="17"/>
        <v>Nord-3</v>
      </c>
      <c r="E87" t="s">
        <v>1856</v>
      </c>
      <c r="F87" t="s">
        <v>364</v>
      </c>
      <c r="G87">
        <v>1635734767</v>
      </c>
      <c r="H87" s="349">
        <f t="shared" si="14"/>
        <v>3</v>
      </c>
      <c r="I87" s="148">
        <f t="shared" si="15"/>
        <v>5.8056048925170342E-2</v>
      </c>
      <c r="J87" s="9"/>
    </row>
    <row r="88" spans="1:10">
      <c r="A88" t="s">
        <v>355</v>
      </c>
      <c r="B88" s="56" t="s">
        <v>261</v>
      </c>
      <c r="C88">
        <v>-4</v>
      </c>
      <c r="D88" s="346" t="str">
        <f t="shared" si="17"/>
        <v>Nord-4</v>
      </c>
      <c r="E88" t="s">
        <v>1843</v>
      </c>
      <c r="F88" t="s">
        <v>358</v>
      </c>
      <c r="G88">
        <v>1240277546</v>
      </c>
      <c r="H88" s="349">
        <f t="shared" si="14"/>
        <v>4</v>
      </c>
      <c r="I88" s="148">
        <f t="shared" si="15"/>
        <v>4.4020348129805452E-2</v>
      </c>
      <c r="J88" s="9"/>
    </row>
    <row r="89" spans="1:10">
      <c r="A89" t="s">
        <v>355</v>
      </c>
      <c r="B89" s="56" t="s">
        <v>261</v>
      </c>
      <c r="C89">
        <v>-5</v>
      </c>
      <c r="D89" s="346" t="str">
        <f t="shared" si="17"/>
        <v>Nord-5</v>
      </c>
      <c r="E89" t="s">
        <v>1841</v>
      </c>
      <c r="F89" t="s">
        <v>370</v>
      </c>
      <c r="G89">
        <v>1108359134</v>
      </c>
      <c r="H89" s="349">
        <f t="shared" si="14"/>
        <v>5</v>
      </c>
      <c r="I89" s="148">
        <f t="shared" si="15"/>
        <v>3.9338255448454026E-2</v>
      </c>
      <c r="J89" s="9"/>
    </row>
    <row r="90" spans="1:10">
      <c r="A90" t="s">
        <v>351</v>
      </c>
      <c r="B90" s="56" t="s">
        <v>261</v>
      </c>
      <c r="C90">
        <v>1</v>
      </c>
      <c r="D90" s="346" t="str">
        <f t="shared" si="17"/>
        <v>Nord1</v>
      </c>
      <c r="E90" s="927" t="s">
        <v>1839</v>
      </c>
      <c r="F90" s="927" t="s">
        <v>360</v>
      </c>
      <c r="G90" s="925">
        <v>4183633854</v>
      </c>
      <c r="H90" s="349">
        <f t="shared" si="14"/>
        <v>-1</v>
      </c>
      <c r="I90" s="148">
        <f t="shared" si="15"/>
        <v>0.18790277886812573</v>
      </c>
      <c r="J90" s="9"/>
    </row>
    <row r="91" spans="1:10">
      <c r="A91" t="s">
        <v>351</v>
      </c>
      <c r="B91" s="56" t="s">
        <v>261</v>
      </c>
      <c r="C91">
        <v>2</v>
      </c>
      <c r="D91" s="346" t="str">
        <f t="shared" si="17"/>
        <v>Nord2</v>
      </c>
      <c r="E91" s="927" t="s">
        <v>1843</v>
      </c>
      <c r="F91" s="927" t="s">
        <v>358</v>
      </c>
      <c r="G91" s="925">
        <v>2786357125</v>
      </c>
      <c r="H91" s="349">
        <f t="shared" si="14"/>
        <v>-2</v>
      </c>
      <c r="I91" s="148">
        <f t="shared" si="15"/>
        <v>0.12514580983369716</v>
      </c>
      <c r="J91" s="9"/>
    </row>
    <row r="92" spans="1:10">
      <c r="A92" t="s">
        <v>351</v>
      </c>
      <c r="B92" s="56" t="s">
        <v>261</v>
      </c>
      <c r="C92">
        <v>3</v>
      </c>
      <c r="D92" s="346" t="str">
        <f t="shared" si="17"/>
        <v>Nord3</v>
      </c>
      <c r="E92" s="927" t="s">
        <v>1834</v>
      </c>
      <c r="F92" s="927" t="s">
        <v>352</v>
      </c>
      <c r="G92" s="925">
        <v>1570777637</v>
      </c>
      <c r="H92" s="349">
        <f t="shared" si="14"/>
        <v>-3</v>
      </c>
      <c r="I92" s="148">
        <f t="shared" si="15"/>
        <v>7.0549549333532108E-2</v>
      </c>
      <c r="J92" s="9"/>
    </row>
    <row r="93" spans="1:10">
      <c r="A93" t="s">
        <v>351</v>
      </c>
      <c r="B93" s="56" t="s">
        <v>261</v>
      </c>
      <c r="C93">
        <v>4</v>
      </c>
      <c r="D93" s="346" t="str">
        <f t="shared" si="17"/>
        <v>Nord4</v>
      </c>
      <c r="E93" s="927" t="s">
        <v>108</v>
      </c>
      <c r="F93" s="927" t="s">
        <v>356</v>
      </c>
      <c r="G93" s="925">
        <v>1011428934</v>
      </c>
      <c r="H93" s="349">
        <f t="shared" si="14"/>
        <v>-4</v>
      </c>
      <c r="I93" s="148">
        <f t="shared" si="15"/>
        <v>4.5427088975417335E-2</v>
      </c>
      <c r="J93" s="9"/>
    </row>
    <row r="94" spans="1:10">
      <c r="A94" t="s">
        <v>351</v>
      </c>
      <c r="B94" s="56" t="s">
        <v>261</v>
      </c>
      <c r="C94">
        <v>5</v>
      </c>
      <c r="D94" s="346" t="str">
        <f t="shared" si="17"/>
        <v>Nord5</v>
      </c>
      <c r="E94" s="927" t="s">
        <v>1841</v>
      </c>
      <c r="F94" s="927" t="s">
        <v>370</v>
      </c>
      <c r="G94" s="925">
        <v>571219486</v>
      </c>
      <c r="H94" s="349">
        <f t="shared" si="14"/>
        <v>-5</v>
      </c>
      <c r="I94" s="148">
        <f t="shared" si="15"/>
        <v>2.5655622004396954E-2</v>
      </c>
      <c r="J94" s="9"/>
    </row>
    <row r="95" spans="1:10">
      <c r="A95" t="s">
        <v>355</v>
      </c>
      <c r="B95" s="56" t="s">
        <v>262</v>
      </c>
      <c r="C95">
        <v>-1</v>
      </c>
      <c r="D95" s="346" t="str">
        <f>CONCATENATE($K$14,C95)</f>
        <v>Pas-de-Calais-1</v>
      </c>
      <c r="E95" t="s">
        <v>1876</v>
      </c>
      <c r="F95" t="s">
        <v>1877</v>
      </c>
      <c r="G95">
        <v>861898749</v>
      </c>
      <c r="H95" s="349">
        <f t="shared" si="14"/>
        <v>1</v>
      </c>
      <c r="I95" s="148">
        <f t="shared" si="15"/>
        <v>8.1339155895960857E-2</v>
      </c>
      <c r="J95" s="9"/>
    </row>
    <row r="96" spans="1:10">
      <c r="A96" t="s">
        <v>355</v>
      </c>
      <c r="B96" s="56" t="s">
        <v>262</v>
      </c>
      <c r="C96">
        <v>-2</v>
      </c>
      <c r="D96" s="346" t="str">
        <f t="shared" ref="D96:D104" si="18">CONCATENATE($K$14,C96)</f>
        <v>Pas-de-Calais-2</v>
      </c>
      <c r="E96" t="s">
        <v>1843</v>
      </c>
      <c r="F96" t="s">
        <v>358</v>
      </c>
      <c r="G96">
        <v>750676595</v>
      </c>
      <c r="H96" s="349">
        <f t="shared" si="14"/>
        <v>2</v>
      </c>
      <c r="I96" s="148">
        <f t="shared" si="15"/>
        <v>7.0842892693598836E-2</v>
      </c>
      <c r="J96" s="9"/>
    </row>
    <row r="97" spans="1:12">
      <c r="A97" t="s">
        <v>355</v>
      </c>
      <c r="B97" s="56" t="s">
        <v>262</v>
      </c>
      <c r="C97">
        <v>-3</v>
      </c>
      <c r="D97" s="346" t="str">
        <f t="shared" si="18"/>
        <v>Pas-de-Calais-3</v>
      </c>
      <c r="E97" t="s">
        <v>1868</v>
      </c>
      <c r="F97" t="s">
        <v>1128</v>
      </c>
      <c r="G97">
        <v>749130148</v>
      </c>
      <c r="H97" s="349">
        <f t="shared" si="14"/>
        <v>3</v>
      </c>
      <c r="I97" s="148">
        <f t="shared" si="15"/>
        <v>7.0696951312707187E-2</v>
      </c>
      <c r="J97" s="9"/>
    </row>
    <row r="98" spans="1:12">
      <c r="A98" t="s">
        <v>355</v>
      </c>
      <c r="B98" s="56" t="s">
        <v>262</v>
      </c>
      <c r="C98">
        <v>-4</v>
      </c>
      <c r="D98" s="346" t="str">
        <f t="shared" si="18"/>
        <v>Pas-de-Calais-4</v>
      </c>
      <c r="E98" t="s">
        <v>108</v>
      </c>
      <c r="F98" t="s">
        <v>356</v>
      </c>
      <c r="G98">
        <v>568429546</v>
      </c>
      <c r="H98" s="349">
        <f t="shared" si="14"/>
        <v>4</v>
      </c>
      <c r="I98" s="148">
        <f t="shared" si="15"/>
        <v>5.3643864214454565E-2</v>
      </c>
      <c r="J98" s="9"/>
    </row>
    <row r="99" spans="1:12">
      <c r="A99" t="s">
        <v>355</v>
      </c>
      <c r="B99" s="56" t="s">
        <v>262</v>
      </c>
      <c r="C99">
        <v>-5</v>
      </c>
      <c r="D99" s="346" t="str">
        <f t="shared" si="18"/>
        <v>Pas-de-Calais-5</v>
      </c>
      <c r="E99" t="s">
        <v>1878</v>
      </c>
      <c r="F99" t="s">
        <v>1879</v>
      </c>
      <c r="G99">
        <v>264159791</v>
      </c>
      <c r="H99" s="349">
        <f t="shared" si="14"/>
        <v>5</v>
      </c>
      <c r="I99" s="148">
        <f t="shared" si="15"/>
        <v>2.4929302248695384E-2</v>
      </c>
      <c r="J99" s="9"/>
    </row>
    <row r="100" spans="1:12">
      <c r="A100" t="s">
        <v>351</v>
      </c>
      <c r="B100" s="56" t="s">
        <v>262</v>
      </c>
      <c r="C100">
        <v>1</v>
      </c>
      <c r="D100" s="346" t="str">
        <f t="shared" si="18"/>
        <v>Pas-de-Calais1</v>
      </c>
      <c r="E100" s="927" t="s">
        <v>1843</v>
      </c>
      <c r="F100" s="927" t="s">
        <v>358</v>
      </c>
      <c r="G100" s="925">
        <v>779774335</v>
      </c>
      <c r="H100" s="349">
        <f t="shared" si="14"/>
        <v>-1</v>
      </c>
      <c r="I100" s="148">
        <f t="shared" si="15"/>
        <v>7.8597914304533917E-2</v>
      </c>
      <c r="J100" s="9"/>
    </row>
    <row r="101" spans="1:12">
      <c r="A101" t="s">
        <v>351</v>
      </c>
      <c r="B101" s="56" t="s">
        <v>262</v>
      </c>
      <c r="C101">
        <v>2</v>
      </c>
      <c r="D101" s="346" t="str">
        <f t="shared" si="18"/>
        <v>Pas-de-Calais2</v>
      </c>
      <c r="E101" s="927" t="s">
        <v>1844</v>
      </c>
      <c r="F101" s="927" t="s">
        <v>359</v>
      </c>
      <c r="G101" s="925">
        <v>583706113</v>
      </c>
      <c r="H101" s="349">
        <f t="shared" si="14"/>
        <v>-2</v>
      </c>
      <c r="I101" s="148">
        <f t="shared" si="15"/>
        <v>5.8835077008025136E-2</v>
      </c>
      <c r="J101" s="9"/>
    </row>
    <row r="102" spans="1:12">
      <c r="A102" t="s">
        <v>351</v>
      </c>
      <c r="B102" s="56" t="s">
        <v>262</v>
      </c>
      <c r="C102">
        <v>3</v>
      </c>
      <c r="D102" s="346" t="str">
        <f t="shared" si="18"/>
        <v>Pas-de-Calais3</v>
      </c>
      <c r="E102" s="927" t="s">
        <v>1847</v>
      </c>
      <c r="F102" s="927" t="s">
        <v>1848</v>
      </c>
      <c r="G102" s="925">
        <v>517327946</v>
      </c>
      <c r="H102" s="349">
        <f t="shared" si="14"/>
        <v>-3</v>
      </c>
      <c r="I102" s="148">
        <f t="shared" si="15"/>
        <v>5.2144441977624911E-2</v>
      </c>
      <c r="J102" s="9"/>
    </row>
    <row r="103" spans="1:12">
      <c r="A103" t="s">
        <v>351</v>
      </c>
      <c r="B103" s="56" t="s">
        <v>262</v>
      </c>
      <c r="C103">
        <v>4</v>
      </c>
      <c r="D103" s="346" t="str">
        <f t="shared" si="18"/>
        <v>Pas-de-Calais4</v>
      </c>
      <c r="E103" s="927" t="s">
        <v>1868</v>
      </c>
      <c r="F103" s="927" t="s">
        <v>1128</v>
      </c>
      <c r="G103" s="925">
        <v>501102169</v>
      </c>
      <c r="H103" s="349">
        <f t="shared" si="14"/>
        <v>-4</v>
      </c>
      <c r="I103" s="148">
        <f t="shared" si="15"/>
        <v>5.0508953127930363E-2</v>
      </c>
      <c r="J103" s="9"/>
    </row>
    <row r="104" spans="1:12">
      <c r="A104" t="s">
        <v>351</v>
      </c>
      <c r="B104" s="56" t="s">
        <v>262</v>
      </c>
      <c r="C104">
        <v>5</v>
      </c>
      <c r="D104" s="346" t="str">
        <f t="shared" si="18"/>
        <v>Pas-de-Calais5</v>
      </c>
      <c r="E104" s="927" t="s">
        <v>1880</v>
      </c>
      <c r="F104" s="927" t="s">
        <v>1129</v>
      </c>
      <c r="G104" s="925">
        <v>399006709</v>
      </c>
      <c r="H104" s="349">
        <f t="shared" si="14"/>
        <v>-5</v>
      </c>
      <c r="I104" s="148">
        <f t="shared" si="15"/>
        <v>4.02181678894524E-2</v>
      </c>
      <c r="J104" s="9"/>
    </row>
    <row r="105" spans="1:12">
      <c r="A105" t="s">
        <v>355</v>
      </c>
      <c r="B105" s="56" t="s">
        <v>263</v>
      </c>
      <c r="C105">
        <v>-1</v>
      </c>
      <c r="D105" s="346" t="str">
        <f>CONCATENATE($K$15,C105)</f>
        <v>Bas-Rhin-1</v>
      </c>
      <c r="E105" t="s">
        <v>1881</v>
      </c>
      <c r="F105" t="s">
        <v>376</v>
      </c>
      <c r="G105">
        <v>2316713933</v>
      </c>
      <c r="H105" s="349">
        <f t="shared" si="14"/>
        <v>1</v>
      </c>
      <c r="I105" s="148">
        <f t="shared" si="15"/>
        <v>0.12219028112424014</v>
      </c>
      <c r="J105" s="9"/>
    </row>
    <row r="106" spans="1:12">
      <c r="A106" t="s">
        <v>355</v>
      </c>
      <c r="B106" s="56" t="s">
        <v>263</v>
      </c>
      <c r="C106">
        <v>-2</v>
      </c>
      <c r="D106" s="346" t="str">
        <f t="shared" ref="D106:D114" si="19">CONCATENATE($K$15,C106)</f>
        <v>Bas-Rhin-2</v>
      </c>
      <c r="E106" t="s">
        <v>1839</v>
      </c>
      <c r="F106" t="s">
        <v>360</v>
      </c>
      <c r="G106">
        <v>1585296815</v>
      </c>
      <c r="H106" s="349">
        <f t="shared" si="14"/>
        <v>2</v>
      </c>
      <c r="I106" s="148">
        <f t="shared" si="15"/>
        <v>8.3613199165843033E-2</v>
      </c>
      <c r="J106" s="9"/>
    </row>
    <row r="107" spans="1:12">
      <c r="A107" t="s">
        <v>355</v>
      </c>
      <c r="B107" s="56" t="s">
        <v>263</v>
      </c>
      <c r="C107">
        <v>-3</v>
      </c>
      <c r="D107" s="346" t="str">
        <f t="shared" si="19"/>
        <v>Bas-Rhin-3</v>
      </c>
      <c r="E107" t="s">
        <v>1834</v>
      </c>
      <c r="F107" t="s">
        <v>352</v>
      </c>
      <c r="G107">
        <v>866015318</v>
      </c>
      <c r="H107" s="349">
        <f t="shared" si="14"/>
        <v>3</v>
      </c>
      <c r="I107" s="148">
        <f t="shared" si="15"/>
        <v>4.5676185418063106E-2</v>
      </c>
      <c r="J107" s="9"/>
    </row>
    <row r="108" spans="1:12">
      <c r="A108" t="s">
        <v>355</v>
      </c>
      <c r="B108" s="56" t="s">
        <v>263</v>
      </c>
      <c r="C108">
        <v>-4</v>
      </c>
      <c r="D108" s="346" t="str">
        <f t="shared" si="19"/>
        <v>Bas-Rhin-4</v>
      </c>
      <c r="E108" t="s">
        <v>1840</v>
      </c>
      <c r="F108" t="s">
        <v>357</v>
      </c>
      <c r="G108">
        <v>849273538</v>
      </c>
      <c r="H108" s="349">
        <f t="shared" si="14"/>
        <v>4</v>
      </c>
      <c r="I108" s="148">
        <f t="shared" si="15"/>
        <v>4.4793174885091887E-2</v>
      </c>
      <c r="J108" s="9"/>
    </row>
    <row r="109" spans="1:12">
      <c r="A109" t="s">
        <v>355</v>
      </c>
      <c r="B109" s="56" t="s">
        <v>263</v>
      </c>
      <c r="C109">
        <v>-5</v>
      </c>
      <c r="D109" s="346" t="str">
        <f t="shared" si="19"/>
        <v>Bas-Rhin-5</v>
      </c>
      <c r="E109" t="s">
        <v>1856</v>
      </c>
      <c r="F109" t="s">
        <v>364</v>
      </c>
      <c r="G109">
        <v>671954845</v>
      </c>
      <c r="H109" s="349">
        <f t="shared" si="14"/>
        <v>5</v>
      </c>
      <c r="I109" s="148">
        <f t="shared" si="15"/>
        <v>3.5440867447549991E-2</v>
      </c>
      <c r="J109" s="9"/>
    </row>
    <row r="110" spans="1:12">
      <c r="A110" t="s">
        <v>351</v>
      </c>
      <c r="B110" s="56" t="s">
        <v>263</v>
      </c>
      <c r="C110">
        <v>1</v>
      </c>
      <c r="D110" s="346" t="str">
        <f t="shared" si="19"/>
        <v>Bas-Rhin1</v>
      </c>
      <c r="E110" s="927" t="s">
        <v>1834</v>
      </c>
      <c r="F110" s="927" t="s">
        <v>352</v>
      </c>
      <c r="G110" s="925">
        <v>3195954421</v>
      </c>
      <c r="H110" s="349">
        <f t="shared" si="14"/>
        <v>-1</v>
      </c>
      <c r="I110" s="148">
        <f t="shared" si="15"/>
        <v>0.16472383747757735</v>
      </c>
      <c r="J110" s="9"/>
      <c r="L110" s="147"/>
    </row>
    <row r="111" spans="1:12">
      <c r="A111" t="s">
        <v>351</v>
      </c>
      <c r="B111" s="56" t="s">
        <v>263</v>
      </c>
      <c r="C111">
        <v>2</v>
      </c>
      <c r="D111" s="346" t="str">
        <f t="shared" si="19"/>
        <v>Bas-Rhin2</v>
      </c>
      <c r="E111" s="927" t="s">
        <v>1856</v>
      </c>
      <c r="F111" s="927" t="s">
        <v>364</v>
      </c>
      <c r="G111" s="925">
        <v>1121197788</v>
      </c>
      <c r="H111" s="349">
        <f t="shared" si="14"/>
        <v>-2</v>
      </c>
      <c r="I111" s="148">
        <f t="shared" si="15"/>
        <v>5.7788058865039502E-2</v>
      </c>
      <c r="J111" s="9"/>
    </row>
    <row r="112" spans="1:12">
      <c r="A112" t="s">
        <v>351</v>
      </c>
      <c r="B112" s="56" t="s">
        <v>263</v>
      </c>
      <c r="C112">
        <v>3</v>
      </c>
      <c r="D112" s="346" t="str">
        <f t="shared" si="19"/>
        <v>Bas-Rhin3</v>
      </c>
      <c r="E112" s="927" t="s">
        <v>1836</v>
      </c>
      <c r="F112" s="927" t="s">
        <v>354</v>
      </c>
      <c r="G112" s="925">
        <v>1039919167</v>
      </c>
      <c r="H112" s="349">
        <f t="shared" si="14"/>
        <v>-3</v>
      </c>
      <c r="I112" s="148">
        <f t="shared" si="15"/>
        <v>5.359884819669198E-2</v>
      </c>
      <c r="J112" s="9"/>
    </row>
    <row r="113" spans="1:12">
      <c r="A113" t="s">
        <v>351</v>
      </c>
      <c r="B113" s="56" t="s">
        <v>263</v>
      </c>
      <c r="C113">
        <v>4</v>
      </c>
      <c r="D113" s="346" t="str">
        <f t="shared" si="19"/>
        <v>Bas-Rhin4</v>
      </c>
      <c r="E113" s="927" t="s">
        <v>1882</v>
      </c>
      <c r="F113" s="927" t="s">
        <v>375</v>
      </c>
      <c r="G113" s="925">
        <v>838636386</v>
      </c>
      <c r="H113" s="349">
        <f t="shared" si="14"/>
        <v>-4</v>
      </c>
      <c r="I113" s="148">
        <f t="shared" si="15"/>
        <v>4.3224459911735028E-2</v>
      </c>
      <c r="J113" s="9"/>
    </row>
    <row r="114" spans="1:12">
      <c r="A114" t="s">
        <v>351</v>
      </c>
      <c r="B114" s="56" t="s">
        <v>263</v>
      </c>
      <c r="C114">
        <v>5</v>
      </c>
      <c r="D114" s="346" t="str">
        <f t="shared" si="19"/>
        <v>Bas-Rhin5</v>
      </c>
      <c r="E114" s="927" t="s">
        <v>1883</v>
      </c>
      <c r="F114" s="927" t="s">
        <v>1443</v>
      </c>
      <c r="G114" s="925">
        <v>829587180</v>
      </c>
      <c r="H114" s="349">
        <f t="shared" si="14"/>
        <v>-5</v>
      </c>
      <c r="I114" s="148">
        <f t="shared" si="15"/>
        <v>4.2758051527231625E-2</v>
      </c>
      <c r="J114" s="9"/>
    </row>
    <row r="115" spans="1:12">
      <c r="A115" t="s">
        <v>355</v>
      </c>
      <c r="B115" s="56" t="s">
        <v>264</v>
      </c>
      <c r="C115">
        <v>-1</v>
      </c>
      <c r="D115" s="346" t="str">
        <f>CONCATENATE($K$16,C115)</f>
        <v>Rhône-1</v>
      </c>
      <c r="E115" t="s">
        <v>1839</v>
      </c>
      <c r="F115" t="s">
        <v>360</v>
      </c>
      <c r="G115">
        <v>1485402888</v>
      </c>
      <c r="H115" s="349">
        <f t="shared" si="14"/>
        <v>1</v>
      </c>
      <c r="I115" s="148">
        <f t="shared" si="15"/>
        <v>8.5688439320063342E-2</v>
      </c>
      <c r="J115" s="9"/>
      <c r="K115" s="925"/>
      <c r="L115" s="147"/>
    </row>
    <row r="116" spans="1:12">
      <c r="A116" t="s">
        <v>355</v>
      </c>
      <c r="B116" s="56" t="s">
        <v>264</v>
      </c>
      <c r="C116">
        <v>-2</v>
      </c>
      <c r="D116" s="346" t="str">
        <f t="shared" ref="D116:D124" si="20">CONCATENATE($K$16,C116)</f>
        <v>Rhône-2</v>
      </c>
      <c r="E116" t="s">
        <v>1834</v>
      </c>
      <c r="F116" t="s">
        <v>352</v>
      </c>
      <c r="G116">
        <v>1296957217</v>
      </c>
      <c r="H116" s="349">
        <f t="shared" si="14"/>
        <v>2</v>
      </c>
      <c r="I116" s="148">
        <f t="shared" si="15"/>
        <v>7.481757352663955E-2</v>
      </c>
      <c r="J116" s="9"/>
    </row>
    <row r="117" spans="1:12">
      <c r="A117" t="s">
        <v>355</v>
      </c>
      <c r="B117" s="56" t="s">
        <v>264</v>
      </c>
      <c r="C117">
        <v>-3</v>
      </c>
      <c r="D117" s="346" t="str">
        <f t="shared" si="20"/>
        <v>Rhône-3</v>
      </c>
      <c r="E117" t="s">
        <v>1884</v>
      </c>
      <c r="F117" t="s">
        <v>1444</v>
      </c>
      <c r="G117">
        <v>748543707</v>
      </c>
      <c r="H117" s="349">
        <f t="shared" si="14"/>
        <v>3</v>
      </c>
      <c r="I117" s="148">
        <f t="shared" si="15"/>
        <v>4.31812422971974E-2</v>
      </c>
      <c r="J117" s="9"/>
    </row>
    <row r="118" spans="1:12">
      <c r="A118" t="s">
        <v>355</v>
      </c>
      <c r="B118" s="56" t="s">
        <v>264</v>
      </c>
      <c r="C118">
        <v>-4</v>
      </c>
      <c r="D118" s="346" t="str">
        <f t="shared" si="20"/>
        <v>Rhône-4</v>
      </c>
      <c r="E118" t="s">
        <v>108</v>
      </c>
      <c r="F118" t="s">
        <v>356</v>
      </c>
      <c r="G118">
        <v>622807110</v>
      </c>
      <c r="H118" s="349">
        <f t="shared" si="14"/>
        <v>4</v>
      </c>
      <c r="I118" s="148">
        <f t="shared" si="15"/>
        <v>3.5927874978885201E-2</v>
      </c>
      <c r="J118" s="9"/>
    </row>
    <row r="119" spans="1:12">
      <c r="A119" t="s">
        <v>355</v>
      </c>
      <c r="B119" s="56" t="s">
        <v>264</v>
      </c>
      <c r="C119">
        <v>-5</v>
      </c>
      <c r="D119" s="346" t="str">
        <f t="shared" si="20"/>
        <v>Rhône-5</v>
      </c>
      <c r="E119" t="s">
        <v>1856</v>
      </c>
      <c r="F119" t="s">
        <v>364</v>
      </c>
      <c r="G119">
        <v>561692234</v>
      </c>
      <c r="H119" s="349">
        <f t="shared" si="14"/>
        <v>5</v>
      </c>
      <c r="I119" s="148">
        <f t="shared" si="15"/>
        <v>3.2402341006933483E-2</v>
      </c>
      <c r="J119" s="9"/>
    </row>
    <row r="120" spans="1:12">
      <c r="A120" t="s">
        <v>351</v>
      </c>
      <c r="B120" s="56" t="s">
        <v>264</v>
      </c>
      <c r="C120">
        <v>1</v>
      </c>
      <c r="D120" s="346" t="str">
        <f t="shared" si="20"/>
        <v>Rhône1</v>
      </c>
      <c r="E120" s="927" t="s">
        <v>1839</v>
      </c>
      <c r="F120" s="927" t="s">
        <v>360</v>
      </c>
      <c r="G120" s="925">
        <v>1306435172</v>
      </c>
      <c r="H120" s="349">
        <f t="shared" si="14"/>
        <v>-1</v>
      </c>
      <c r="I120" s="148">
        <f t="shared" si="15"/>
        <v>8.7067392079504549E-2</v>
      </c>
      <c r="J120" s="9"/>
    </row>
    <row r="121" spans="1:12">
      <c r="A121" t="s">
        <v>351</v>
      </c>
      <c r="B121" s="56" t="s">
        <v>264</v>
      </c>
      <c r="C121">
        <v>2</v>
      </c>
      <c r="D121" s="346" t="str">
        <f t="shared" si="20"/>
        <v>Rhône2</v>
      </c>
      <c r="E121" s="927" t="s">
        <v>1834</v>
      </c>
      <c r="F121" s="927" t="s">
        <v>352</v>
      </c>
      <c r="G121" s="925">
        <v>1241729757</v>
      </c>
      <c r="H121" s="349">
        <f t="shared" si="14"/>
        <v>-2</v>
      </c>
      <c r="I121" s="148">
        <f t="shared" si="15"/>
        <v>8.2755098704206428E-2</v>
      </c>
      <c r="J121" s="9"/>
    </row>
    <row r="122" spans="1:12">
      <c r="A122" t="s">
        <v>351</v>
      </c>
      <c r="B122" s="56" t="s">
        <v>264</v>
      </c>
      <c r="C122">
        <v>3</v>
      </c>
      <c r="D122" s="346" t="str">
        <f t="shared" si="20"/>
        <v>Rhône3</v>
      </c>
      <c r="E122" s="927" t="s">
        <v>1885</v>
      </c>
      <c r="F122" s="927" t="s">
        <v>377</v>
      </c>
      <c r="G122" s="925">
        <v>930608709</v>
      </c>
      <c r="H122" s="349">
        <f t="shared" si="14"/>
        <v>-3</v>
      </c>
      <c r="I122" s="148">
        <f t="shared" si="15"/>
        <v>6.2020431687447371E-2</v>
      </c>
      <c r="J122" s="9"/>
    </row>
    <row r="123" spans="1:12">
      <c r="A123" t="s">
        <v>351</v>
      </c>
      <c r="B123" s="56" t="s">
        <v>264</v>
      </c>
      <c r="C123">
        <v>4</v>
      </c>
      <c r="D123" s="346" t="str">
        <f t="shared" si="20"/>
        <v>Rhône4</v>
      </c>
      <c r="E123" s="927" t="s">
        <v>1844</v>
      </c>
      <c r="F123" s="927" t="s">
        <v>359</v>
      </c>
      <c r="G123" s="925">
        <v>859801837</v>
      </c>
      <c r="H123" s="349">
        <f t="shared" si="14"/>
        <v>-4</v>
      </c>
      <c r="I123" s="148">
        <f t="shared" si="15"/>
        <v>5.7301506616783938E-2</v>
      </c>
      <c r="J123" s="9"/>
    </row>
    <row r="124" spans="1:12">
      <c r="A124" t="s">
        <v>351</v>
      </c>
      <c r="B124" s="56" t="s">
        <v>264</v>
      </c>
      <c r="C124">
        <v>5</v>
      </c>
      <c r="D124" s="346" t="str">
        <f t="shared" si="20"/>
        <v>Rhône5</v>
      </c>
      <c r="E124" s="927" t="s">
        <v>1831</v>
      </c>
      <c r="F124" s="927" t="s">
        <v>350</v>
      </c>
      <c r="G124" s="925">
        <v>585640561</v>
      </c>
      <c r="H124" s="349">
        <f t="shared" si="14"/>
        <v>-5</v>
      </c>
      <c r="I124" s="148">
        <f t="shared" si="15"/>
        <v>3.9030024171951797E-2</v>
      </c>
      <c r="J124" s="9"/>
    </row>
    <row r="125" spans="1:12">
      <c r="A125" t="s">
        <v>355</v>
      </c>
      <c r="B125" s="56" t="s">
        <v>265</v>
      </c>
      <c r="C125">
        <v>-1</v>
      </c>
      <c r="D125" s="346" t="str">
        <f>CONCATENATE($K$17,C125)</f>
        <v>Seine-Maritime-1</v>
      </c>
      <c r="E125" t="s">
        <v>1840</v>
      </c>
      <c r="F125" t="s">
        <v>357</v>
      </c>
      <c r="G125">
        <v>4894083913</v>
      </c>
      <c r="H125" s="349">
        <f t="shared" si="14"/>
        <v>1</v>
      </c>
      <c r="I125" s="148">
        <f t="shared" si="15"/>
        <v>0.28268370753986433</v>
      </c>
      <c r="J125" s="9"/>
    </row>
    <row r="126" spans="1:12">
      <c r="A126" t="s">
        <v>355</v>
      </c>
      <c r="B126" s="56" t="s">
        <v>265</v>
      </c>
      <c r="C126">
        <v>-2</v>
      </c>
      <c r="D126" s="346" t="str">
        <f t="shared" ref="D126:D134" si="21">CONCATENATE($K$17,C126)</f>
        <v>Seine-Maritime-2</v>
      </c>
      <c r="E126" t="s">
        <v>1839</v>
      </c>
      <c r="F126" t="s">
        <v>360</v>
      </c>
      <c r="G126">
        <v>1321337326</v>
      </c>
      <c r="H126" s="349">
        <f t="shared" si="14"/>
        <v>2</v>
      </c>
      <c r="I126" s="148">
        <f t="shared" si="15"/>
        <v>7.6320827526540694E-2</v>
      </c>
      <c r="J126" s="9"/>
    </row>
    <row r="127" spans="1:12">
      <c r="A127" t="s">
        <v>355</v>
      </c>
      <c r="B127" s="56" t="s">
        <v>265</v>
      </c>
      <c r="C127">
        <v>-3</v>
      </c>
      <c r="D127" s="346" t="str">
        <f t="shared" si="21"/>
        <v>Seine-Maritime-3</v>
      </c>
      <c r="E127" t="s">
        <v>1860</v>
      </c>
      <c r="F127" t="s">
        <v>1440</v>
      </c>
      <c r="G127">
        <v>1088084587</v>
      </c>
      <c r="H127" s="349">
        <f t="shared" si="14"/>
        <v>3</v>
      </c>
      <c r="I127" s="148">
        <f t="shared" si="15"/>
        <v>6.2848081609944817E-2</v>
      </c>
      <c r="J127" s="9"/>
    </row>
    <row r="128" spans="1:12">
      <c r="A128" t="s">
        <v>355</v>
      </c>
      <c r="B128" s="56" t="s">
        <v>265</v>
      </c>
      <c r="C128">
        <v>-4</v>
      </c>
      <c r="D128" s="346" t="str">
        <f t="shared" si="21"/>
        <v>Seine-Maritime-4</v>
      </c>
      <c r="E128" t="s">
        <v>108</v>
      </c>
      <c r="F128" t="s">
        <v>356</v>
      </c>
      <c r="G128">
        <v>1036453376</v>
      </c>
      <c r="H128" s="349">
        <f t="shared" si="14"/>
        <v>4</v>
      </c>
      <c r="I128" s="148">
        <f t="shared" si="15"/>
        <v>5.986584787433518E-2</v>
      </c>
      <c r="J128" s="9"/>
    </row>
    <row r="129" spans="1:10">
      <c r="A129" t="s">
        <v>355</v>
      </c>
      <c r="B129" s="56" t="s">
        <v>265</v>
      </c>
      <c r="C129">
        <v>-5</v>
      </c>
      <c r="D129" s="346" t="str">
        <f t="shared" si="21"/>
        <v>Seine-Maritime-5</v>
      </c>
      <c r="E129" t="s">
        <v>1856</v>
      </c>
      <c r="F129" t="s">
        <v>364</v>
      </c>
      <c r="G129">
        <v>631965768</v>
      </c>
      <c r="H129" s="349">
        <f t="shared" si="14"/>
        <v>5</v>
      </c>
      <c r="I129" s="148">
        <f t="shared" si="15"/>
        <v>3.650252621578165E-2</v>
      </c>
      <c r="J129" s="9"/>
    </row>
    <row r="130" spans="1:10">
      <c r="A130" t="s">
        <v>351</v>
      </c>
      <c r="B130" s="56" t="s">
        <v>265</v>
      </c>
      <c r="C130">
        <v>1</v>
      </c>
      <c r="D130" s="346" t="str">
        <f t="shared" si="21"/>
        <v>Seine-Maritime1</v>
      </c>
      <c r="E130" s="927" t="s">
        <v>1840</v>
      </c>
      <c r="F130" s="927" t="s">
        <v>357</v>
      </c>
      <c r="G130" s="925">
        <v>3752346418</v>
      </c>
      <c r="H130" s="349">
        <f t="shared" si="14"/>
        <v>-1</v>
      </c>
      <c r="I130" s="148">
        <f t="shared" si="15"/>
        <v>0.19428003574891514</v>
      </c>
      <c r="J130" s="9"/>
    </row>
    <row r="131" spans="1:10">
      <c r="A131" t="s">
        <v>351</v>
      </c>
      <c r="B131" s="56" t="s">
        <v>265</v>
      </c>
      <c r="C131">
        <v>2</v>
      </c>
      <c r="D131" s="346" t="str">
        <f t="shared" si="21"/>
        <v>Seine-Maritime2</v>
      </c>
      <c r="E131" s="927" t="s">
        <v>1860</v>
      </c>
      <c r="F131" s="927" t="s">
        <v>1440</v>
      </c>
      <c r="G131" s="925">
        <v>1959396630</v>
      </c>
      <c r="H131" s="349">
        <f t="shared" si="14"/>
        <v>-2</v>
      </c>
      <c r="I131" s="148">
        <f t="shared" si="15"/>
        <v>0.10144896150755767</v>
      </c>
      <c r="J131" s="9"/>
    </row>
    <row r="132" spans="1:10">
      <c r="A132" t="s">
        <v>351</v>
      </c>
      <c r="B132" s="56" t="s">
        <v>265</v>
      </c>
      <c r="C132">
        <v>3</v>
      </c>
      <c r="D132" s="346" t="str">
        <f t="shared" si="21"/>
        <v>Seine-Maritime3</v>
      </c>
      <c r="E132" s="927" t="s">
        <v>1844</v>
      </c>
      <c r="F132" s="927" t="s">
        <v>359</v>
      </c>
      <c r="G132" s="925">
        <v>1549966321</v>
      </c>
      <c r="H132" s="349">
        <f t="shared" si="14"/>
        <v>-3</v>
      </c>
      <c r="I132" s="148">
        <f t="shared" si="15"/>
        <v>8.0250456303550835E-2</v>
      </c>
      <c r="J132" s="9"/>
    </row>
    <row r="133" spans="1:10">
      <c r="A133" t="s">
        <v>351</v>
      </c>
      <c r="B133" s="56" t="s">
        <v>265</v>
      </c>
      <c r="C133">
        <v>4</v>
      </c>
      <c r="D133" s="346" t="str">
        <f t="shared" si="21"/>
        <v>Seine-Maritime4</v>
      </c>
      <c r="E133" s="927" t="s">
        <v>1834</v>
      </c>
      <c r="F133" s="927" t="s">
        <v>352</v>
      </c>
      <c r="G133" s="925">
        <v>1362988339</v>
      </c>
      <c r="H133" s="349">
        <f t="shared" si="14"/>
        <v>-4</v>
      </c>
      <c r="I133" s="148">
        <f t="shared" si="15"/>
        <v>7.0569556679527898E-2</v>
      </c>
      <c r="J133" s="9"/>
    </row>
    <row r="134" spans="1:10" s="124" customFormat="1">
      <c r="A134" t="s">
        <v>351</v>
      </c>
      <c r="B134" s="56" t="s">
        <v>265</v>
      </c>
      <c r="C134">
        <v>5</v>
      </c>
      <c r="D134" s="346" t="str">
        <f t="shared" si="21"/>
        <v>Seine-Maritime5</v>
      </c>
      <c r="E134" s="927" t="s">
        <v>108</v>
      </c>
      <c r="F134" s="927" t="s">
        <v>356</v>
      </c>
      <c r="G134" s="925">
        <v>846807073</v>
      </c>
      <c r="H134" s="349">
        <f t="shared" ref="H134:H154" si="22">C134*-1</f>
        <v>-5</v>
      </c>
      <c r="I134" s="148">
        <f t="shared" ref="I134:I154" si="23">IF(A134="E",(G134/(VLOOKUP(B134,$J$1:$M$19,MATCH("Export N",$J$4:$M$4,0),FALSE))),(G134/(VLOOKUP(B134,$J$1:$M$19,MATCH("Import N",$J$4:$M$4,0),FALSE))))</f>
        <v>4.3843955245092249E-2</v>
      </c>
      <c r="J134" s="9"/>
    </row>
    <row r="135" spans="1:10">
      <c r="A135" t="s">
        <v>355</v>
      </c>
      <c r="B135" s="56" t="s">
        <v>266</v>
      </c>
      <c r="C135">
        <v>-1</v>
      </c>
      <c r="D135" s="346" t="str">
        <f>CONCATENATE($K$18,C135)</f>
        <v>Var-1</v>
      </c>
      <c r="E135" t="s">
        <v>1834</v>
      </c>
      <c r="F135" t="s">
        <v>352</v>
      </c>
      <c r="G135">
        <v>88795207</v>
      </c>
      <c r="H135" s="349">
        <f t="shared" si="22"/>
        <v>1</v>
      </c>
      <c r="I135" s="148">
        <f t="shared" si="23"/>
        <v>5.7833080879177393E-2</v>
      </c>
      <c r="J135" s="9"/>
    </row>
    <row r="136" spans="1:10">
      <c r="A136" t="s">
        <v>355</v>
      </c>
      <c r="B136" s="56" t="s">
        <v>266</v>
      </c>
      <c r="C136">
        <v>-2</v>
      </c>
      <c r="D136" s="346" t="str">
        <f t="shared" ref="D136:D144" si="24">CONCATENATE($K$18,C136)</f>
        <v>Var-2</v>
      </c>
      <c r="E136" t="s">
        <v>1839</v>
      </c>
      <c r="F136" t="s">
        <v>360</v>
      </c>
      <c r="G136">
        <v>78244571</v>
      </c>
      <c r="H136" s="349">
        <f t="shared" si="22"/>
        <v>2</v>
      </c>
      <c r="I136" s="148">
        <f t="shared" si="23"/>
        <v>5.0961361045079132E-2</v>
      </c>
      <c r="J136" s="9"/>
    </row>
    <row r="137" spans="1:10">
      <c r="A137" t="s">
        <v>355</v>
      </c>
      <c r="B137" s="56" t="s">
        <v>266</v>
      </c>
      <c r="C137">
        <v>-3</v>
      </c>
      <c r="D137" s="346" t="str">
        <f t="shared" si="24"/>
        <v>Var-3</v>
      </c>
      <c r="E137" t="s">
        <v>1886</v>
      </c>
      <c r="F137" t="s">
        <v>378</v>
      </c>
      <c r="G137">
        <v>64961502</v>
      </c>
      <c r="H137" s="349">
        <f t="shared" si="22"/>
        <v>3</v>
      </c>
      <c r="I137" s="148">
        <f t="shared" si="23"/>
        <v>4.2309984132351243E-2</v>
      </c>
      <c r="J137" s="9"/>
    </row>
    <row r="138" spans="1:10">
      <c r="A138" t="s">
        <v>355</v>
      </c>
      <c r="B138" s="56" t="s">
        <v>266</v>
      </c>
      <c r="C138">
        <v>-4</v>
      </c>
      <c r="D138" s="346" t="str">
        <f t="shared" si="24"/>
        <v>Var-4</v>
      </c>
      <c r="E138" t="s">
        <v>1841</v>
      </c>
      <c r="F138" t="s">
        <v>370</v>
      </c>
      <c r="G138">
        <v>55622562</v>
      </c>
      <c r="H138" s="349">
        <f t="shared" si="22"/>
        <v>4</v>
      </c>
      <c r="I138" s="148">
        <f t="shared" si="23"/>
        <v>3.6227452308918641E-2</v>
      </c>
      <c r="J138" s="9"/>
    </row>
    <row r="139" spans="1:10">
      <c r="A139" t="s">
        <v>355</v>
      </c>
      <c r="B139" s="56" t="s">
        <v>266</v>
      </c>
      <c r="C139">
        <v>-5</v>
      </c>
      <c r="D139" s="346" t="str">
        <f t="shared" si="24"/>
        <v>Var-5</v>
      </c>
      <c r="E139" t="s">
        <v>108</v>
      </c>
      <c r="F139" t="s">
        <v>356</v>
      </c>
      <c r="G139">
        <v>51275046</v>
      </c>
      <c r="H139" s="349">
        <f t="shared" si="22"/>
        <v>5</v>
      </c>
      <c r="I139" s="148">
        <f t="shared" si="23"/>
        <v>3.3395877802295582E-2</v>
      </c>
      <c r="J139" s="9"/>
    </row>
    <row r="140" spans="1:10">
      <c r="A140" t="s">
        <v>351</v>
      </c>
      <c r="B140" s="56" t="s">
        <v>266</v>
      </c>
      <c r="C140">
        <v>1</v>
      </c>
      <c r="D140" s="346" t="str">
        <f t="shared" si="24"/>
        <v>Var1</v>
      </c>
      <c r="E140" s="927" t="s">
        <v>1831</v>
      </c>
      <c r="F140" s="927" t="s">
        <v>350</v>
      </c>
      <c r="G140" s="925">
        <v>209282583</v>
      </c>
      <c r="H140" s="349">
        <f t="shared" si="22"/>
        <v>-1</v>
      </c>
      <c r="I140" s="148">
        <f t="shared" si="23"/>
        <v>0.18741755885162448</v>
      </c>
      <c r="J140" s="9"/>
    </row>
    <row r="141" spans="1:10">
      <c r="A141" t="s">
        <v>351</v>
      </c>
      <c r="B141" s="56" t="s">
        <v>266</v>
      </c>
      <c r="C141">
        <v>2</v>
      </c>
      <c r="D141" s="346" t="str">
        <f t="shared" si="24"/>
        <v>Var2</v>
      </c>
      <c r="E141" s="927" t="s">
        <v>1855</v>
      </c>
      <c r="F141" s="927" t="s">
        <v>363</v>
      </c>
      <c r="G141" s="925">
        <v>143817772</v>
      </c>
      <c r="H141" s="349">
        <f t="shared" si="22"/>
        <v>-2</v>
      </c>
      <c r="I141" s="148">
        <f t="shared" si="23"/>
        <v>0.12879225476550771</v>
      </c>
      <c r="J141" s="9"/>
    </row>
    <row r="142" spans="1:10">
      <c r="A142" t="s">
        <v>351</v>
      </c>
      <c r="B142" s="56" t="s">
        <v>266</v>
      </c>
      <c r="C142">
        <v>3</v>
      </c>
      <c r="D142" s="346" t="str">
        <f t="shared" si="24"/>
        <v>Var3</v>
      </c>
      <c r="E142" s="927" t="s">
        <v>1834</v>
      </c>
      <c r="F142" s="927" t="s">
        <v>352</v>
      </c>
      <c r="G142" s="925">
        <v>103656996</v>
      </c>
      <c r="H142" s="349">
        <f t="shared" si="22"/>
        <v>-3</v>
      </c>
      <c r="I142" s="148">
        <f t="shared" si="23"/>
        <v>9.2827319262456742E-2</v>
      </c>
      <c r="J142" s="9"/>
    </row>
    <row r="143" spans="1:10">
      <c r="A143" t="s">
        <v>351</v>
      </c>
      <c r="B143" s="56" t="s">
        <v>266</v>
      </c>
      <c r="C143">
        <v>4</v>
      </c>
      <c r="D143" s="346" t="str">
        <f t="shared" si="24"/>
        <v>Var4</v>
      </c>
      <c r="E143" s="927" t="s">
        <v>1860</v>
      </c>
      <c r="F143" s="927" t="s">
        <v>1440</v>
      </c>
      <c r="G143" s="925">
        <v>95774105</v>
      </c>
      <c r="H143" s="349">
        <f t="shared" si="22"/>
        <v>-4</v>
      </c>
      <c r="I143" s="148">
        <f t="shared" si="23"/>
        <v>8.5768001823157747E-2</v>
      </c>
      <c r="J143" s="9"/>
    </row>
    <row r="144" spans="1:10">
      <c r="A144" t="s">
        <v>351</v>
      </c>
      <c r="B144" s="56" t="s">
        <v>266</v>
      </c>
      <c r="C144">
        <v>5</v>
      </c>
      <c r="D144" s="346" t="str">
        <f t="shared" si="24"/>
        <v>Var5</v>
      </c>
      <c r="E144" s="927" t="s">
        <v>1887</v>
      </c>
      <c r="F144" s="927" t="s">
        <v>1888</v>
      </c>
      <c r="G144" s="925">
        <v>34437905</v>
      </c>
      <c r="H144" s="349">
        <f t="shared" si="22"/>
        <v>-5</v>
      </c>
      <c r="I144" s="148">
        <f t="shared" si="23"/>
        <v>3.0839967638702896E-2</v>
      </c>
      <c r="J144" s="9"/>
    </row>
    <row r="145" spans="1:10">
      <c r="A145" t="s">
        <v>355</v>
      </c>
      <c r="B145" s="56" t="s">
        <v>267</v>
      </c>
      <c r="C145">
        <v>-1</v>
      </c>
      <c r="D145" s="346" t="str">
        <f>CONCATENATE($K$19,C145)</f>
        <v>Vaucluse-1</v>
      </c>
      <c r="E145" t="s">
        <v>1889</v>
      </c>
      <c r="F145" t="s">
        <v>1890</v>
      </c>
      <c r="G145">
        <v>119556285</v>
      </c>
      <c r="H145" s="349">
        <f t="shared" si="22"/>
        <v>1</v>
      </c>
      <c r="I145" s="148">
        <f t="shared" si="23"/>
        <v>6.6737902641458471E-2</v>
      </c>
      <c r="J145" s="9"/>
    </row>
    <row r="146" spans="1:10">
      <c r="A146" t="s">
        <v>355</v>
      </c>
      <c r="B146" s="56" t="s">
        <v>267</v>
      </c>
      <c r="C146">
        <v>-2</v>
      </c>
      <c r="D146" s="346" t="str">
        <f t="shared" ref="D146:D154" si="25">CONCATENATE($K$19,C146)</f>
        <v>Vaucluse-2</v>
      </c>
      <c r="E146" t="s">
        <v>1856</v>
      </c>
      <c r="F146" s="347" t="s">
        <v>364</v>
      </c>
      <c r="G146">
        <v>75386742</v>
      </c>
      <c r="H146" s="349">
        <f t="shared" si="22"/>
        <v>2</v>
      </c>
      <c r="I146" s="148">
        <f t="shared" si="23"/>
        <v>4.2081878406080853E-2</v>
      </c>
      <c r="J146" s="9"/>
    </row>
    <row r="147" spans="1:10">
      <c r="A147" t="s">
        <v>355</v>
      </c>
      <c r="B147" s="56" t="s">
        <v>267</v>
      </c>
      <c r="C147">
        <v>-3</v>
      </c>
      <c r="D147" s="346" t="str">
        <f t="shared" si="25"/>
        <v>Vaucluse-3</v>
      </c>
      <c r="E147" t="s">
        <v>1891</v>
      </c>
      <c r="F147" t="s">
        <v>1892</v>
      </c>
      <c r="G147">
        <v>54521796</v>
      </c>
      <c r="H147" s="349">
        <f t="shared" si="22"/>
        <v>3</v>
      </c>
      <c r="I147" s="148">
        <f t="shared" si="23"/>
        <v>3.0434789047564161E-2</v>
      </c>
      <c r="J147" s="9"/>
    </row>
    <row r="148" spans="1:10">
      <c r="A148" t="s">
        <v>355</v>
      </c>
      <c r="B148" s="56" t="s">
        <v>267</v>
      </c>
      <c r="C148">
        <v>-4</v>
      </c>
      <c r="D148" s="346" t="str">
        <f t="shared" si="25"/>
        <v>Vaucluse-4</v>
      </c>
      <c r="E148" t="s">
        <v>1839</v>
      </c>
      <c r="F148" t="s">
        <v>360</v>
      </c>
      <c r="G148">
        <v>46451410</v>
      </c>
      <c r="H148" s="349">
        <f t="shared" si="22"/>
        <v>4</v>
      </c>
      <c r="I148" s="148">
        <f t="shared" si="23"/>
        <v>2.5929792633975456E-2</v>
      </c>
      <c r="J148" s="9"/>
    </row>
    <row r="149" spans="1:10">
      <c r="A149" t="s">
        <v>355</v>
      </c>
      <c r="B149" s="56" t="s">
        <v>267</v>
      </c>
      <c r="C149">
        <v>-5</v>
      </c>
      <c r="D149" s="346" t="str">
        <f t="shared" si="25"/>
        <v>Vaucluse-5</v>
      </c>
      <c r="E149" t="s">
        <v>1831</v>
      </c>
      <c r="F149" t="s">
        <v>350</v>
      </c>
      <c r="G149">
        <v>45169568</v>
      </c>
      <c r="H149" s="349">
        <f t="shared" si="22"/>
        <v>5</v>
      </c>
      <c r="I149" s="148">
        <f t="shared" si="23"/>
        <v>2.5214251442663493E-2</v>
      </c>
      <c r="J149" s="9"/>
    </row>
    <row r="150" spans="1:10">
      <c r="A150" t="s">
        <v>351</v>
      </c>
      <c r="B150" s="56" t="s">
        <v>267</v>
      </c>
      <c r="C150">
        <v>1</v>
      </c>
      <c r="D150" s="346" t="str">
        <f t="shared" si="25"/>
        <v>Vaucluse1</v>
      </c>
      <c r="E150" s="927" t="s">
        <v>1855</v>
      </c>
      <c r="F150" s="927" t="s">
        <v>363</v>
      </c>
      <c r="G150" s="925">
        <v>291445043</v>
      </c>
      <c r="H150" s="349">
        <f t="shared" si="22"/>
        <v>-1</v>
      </c>
      <c r="I150" s="148">
        <f t="shared" si="23"/>
        <v>0.22862740184603361</v>
      </c>
      <c r="J150" s="9"/>
    </row>
    <row r="151" spans="1:10">
      <c r="A151" t="s">
        <v>351</v>
      </c>
      <c r="B151" s="56" t="s">
        <v>267</v>
      </c>
      <c r="C151">
        <v>2</v>
      </c>
      <c r="D151" s="346" t="str">
        <f t="shared" si="25"/>
        <v>Vaucluse2</v>
      </c>
      <c r="E151" s="927" t="s">
        <v>1860</v>
      </c>
      <c r="F151" s="927" t="s">
        <v>1440</v>
      </c>
      <c r="G151" s="925">
        <v>62615481</v>
      </c>
      <c r="H151" s="349">
        <f t="shared" si="22"/>
        <v>-2</v>
      </c>
      <c r="I151" s="148">
        <f t="shared" si="23"/>
        <v>4.91194311936528E-2</v>
      </c>
      <c r="J151" s="9"/>
    </row>
    <row r="152" spans="1:10">
      <c r="A152" t="s">
        <v>351</v>
      </c>
      <c r="B152" s="56" t="s">
        <v>267</v>
      </c>
      <c r="C152">
        <v>3</v>
      </c>
      <c r="D152" s="346" t="str">
        <f t="shared" si="25"/>
        <v>Vaucluse3</v>
      </c>
      <c r="E152" s="927" t="s">
        <v>1893</v>
      </c>
      <c r="F152" s="927" t="s">
        <v>1894</v>
      </c>
      <c r="G152" s="925">
        <v>60162068</v>
      </c>
      <c r="H152" s="349">
        <f t="shared" si="22"/>
        <v>-3</v>
      </c>
      <c r="I152" s="148">
        <f t="shared" si="23"/>
        <v>4.7194823267330023E-2</v>
      </c>
      <c r="J152" s="9"/>
    </row>
    <row r="153" spans="1:10">
      <c r="A153" t="s">
        <v>351</v>
      </c>
      <c r="B153" s="56" t="s">
        <v>267</v>
      </c>
      <c r="C153">
        <v>4</v>
      </c>
      <c r="D153" s="346" t="str">
        <f t="shared" si="25"/>
        <v>Vaucluse4</v>
      </c>
      <c r="E153" s="927" t="s">
        <v>1895</v>
      </c>
      <c r="F153" s="927" t="s">
        <v>379</v>
      </c>
      <c r="G153" s="925">
        <v>59854004</v>
      </c>
      <c r="H153" s="349">
        <f t="shared" si="22"/>
        <v>-4</v>
      </c>
      <c r="I153" s="148">
        <f t="shared" si="23"/>
        <v>4.6953158934331586E-2</v>
      </c>
      <c r="J153" s="9"/>
    </row>
    <row r="154" spans="1:10">
      <c r="A154" t="s">
        <v>351</v>
      </c>
      <c r="B154" s="56" t="s">
        <v>267</v>
      </c>
      <c r="C154">
        <v>5</v>
      </c>
      <c r="D154" s="346" t="str">
        <f t="shared" si="25"/>
        <v>Vaucluse5</v>
      </c>
      <c r="E154" s="927" t="s">
        <v>1891</v>
      </c>
      <c r="F154" s="927" t="s">
        <v>1892</v>
      </c>
      <c r="G154" s="925">
        <v>57781329</v>
      </c>
      <c r="H154" s="349">
        <f t="shared" si="22"/>
        <v>-5</v>
      </c>
      <c r="I154" s="148">
        <f t="shared" si="23"/>
        <v>4.5327225292628753E-2</v>
      </c>
      <c r="J154" s="9"/>
    </row>
    <row r="155" spans="1:10">
      <c r="A155" s="342"/>
      <c r="B155" s="342"/>
      <c r="C155" s="342"/>
      <c r="D155" s="354"/>
      <c r="E155" s="342"/>
      <c r="F155" s="355"/>
      <c r="G155" s="356"/>
      <c r="H155" s="356"/>
      <c r="I155" s="148"/>
      <c r="J155" s="9"/>
    </row>
    <row r="156" spans="1:10" s="125" customFormat="1">
      <c r="A156" s="132" t="s">
        <v>380</v>
      </c>
      <c r="B156" s="133"/>
      <c r="C156" s="133"/>
      <c r="D156" s="348"/>
      <c r="E156" s="133"/>
      <c r="F156" s="348"/>
      <c r="G156" s="348"/>
      <c r="H156" s="348"/>
      <c r="I156" s="133"/>
      <c r="J156" s="133"/>
    </row>
    <row r="157" spans="1:10">
      <c r="A157" s="132" t="s">
        <v>1135</v>
      </c>
      <c r="B157" s="133"/>
      <c r="C157" s="133"/>
      <c r="D157" s="348"/>
      <c r="E157" s="9"/>
      <c r="F157" s="131"/>
      <c r="G157" s="131"/>
      <c r="H157" s="131"/>
      <c r="I157" s="9"/>
      <c r="J157" s="9"/>
    </row>
    <row r="158" spans="1:10">
      <c r="A158" s="362"/>
      <c r="B158" s="77"/>
      <c r="C158" s="77"/>
      <c r="D158" s="222"/>
      <c r="E158" s="9"/>
      <c r="F158" s="131"/>
      <c r="G158" s="131"/>
      <c r="H158" s="131"/>
      <c r="I158" s="9"/>
      <c r="J158" s="9"/>
    </row>
    <row r="159" spans="1:10">
      <c r="A159" s="362"/>
      <c r="B159" s="77"/>
      <c r="C159" s="77"/>
      <c r="D159" s="222"/>
      <c r="E159" s="9"/>
      <c r="F159" s="131"/>
      <c r="G159" s="131"/>
      <c r="H159" s="131"/>
      <c r="I159" s="9"/>
      <c r="J159" s="9"/>
    </row>
    <row r="160" spans="1:10" s="124" customFormat="1">
      <c r="A160" s="131"/>
      <c r="C160" s="131" t="s">
        <v>341</v>
      </c>
      <c r="D160" s="124" t="s">
        <v>331</v>
      </c>
      <c r="E160" s="131" t="s">
        <v>381</v>
      </c>
      <c r="F160" s="131" t="s">
        <v>808</v>
      </c>
      <c r="G160" s="131" t="s">
        <v>809</v>
      </c>
      <c r="H160" s="358"/>
    </row>
    <row r="161" spans="1:14">
      <c r="A161" s="123">
        <v>1</v>
      </c>
      <c r="C161" s="130" t="s">
        <v>1445</v>
      </c>
      <c r="D161" s="124">
        <v>1</v>
      </c>
      <c r="E161" s="124" t="s">
        <v>384</v>
      </c>
      <c r="F161" s="124">
        <v>1062952604</v>
      </c>
      <c r="G161" s="357">
        <f>F161/N$162</f>
        <v>0.16926855892659212</v>
      </c>
      <c r="H161" s="359"/>
      <c r="I161" s="124"/>
      <c r="J161" s="124"/>
      <c r="K161" s="124" t="s">
        <v>1125</v>
      </c>
      <c r="L161" s="357" t="s">
        <v>1126</v>
      </c>
      <c r="M161" t="s">
        <v>1127</v>
      </c>
    </row>
    <row r="162" spans="1:14">
      <c r="A162" s="123">
        <v>2</v>
      </c>
      <c r="C162" s="130" t="s">
        <v>1446</v>
      </c>
      <c r="D162" s="124">
        <v>2</v>
      </c>
      <c r="E162" s="124" t="s">
        <v>382</v>
      </c>
      <c r="F162" s="124">
        <v>589166305</v>
      </c>
      <c r="G162" s="357">
        <f t="shared" ref="G162:G163" si="26">F162/N$162</f>
        <v>9.3821051889021984E-2</v>
      </c>
      <c r="H162" s="359"/>
      <c r="I162" s="124"/>
      <c r="J162" s="124"/>
      <c r="K162" s="124" t="s">
        <v>1437</v>
      </c>
      <c r="L162" s="928">
        <v>2914080218</v>
      </c>
      <c r="M162">
        <v>3365601081</v>
      </c>
      <c r="N162" s="214">
        <f>M162+L162</f>
        <v>6279681299</v>
      </c>
    </row>
    <row r="163" spans="1:14">
      <c r="A163" s="123">
        <v>3</v>
      </c>
      <c r="C163" s="130" t="s">
        <v>1447</v>
      </c>
      <c r="D163" s="124">
        <v>3</v>
      </c>
      <c r="E163" s="124" t="s">
        <v>385</v>
      </c>
      <c r="F163" s="124">
        <v>506638399</v>
      </c>
      <c r="G163" s="357">
        <f t="shared" si="26"/>
        <v>8.0678998642921412E-2</v>
      </c>
      <c r="H163" s="359"/>
      <c r="I163" s="124"/>
      <c r="J163" s="124"/>
      <c r="K163" s="124" t="s">
        <v>235</v>
      </c>
      <c r="L163" s="928">
        <v>13961068713</v>
      </c>
      <c r="M163">
        <v>15496450260</v>
      </c>
      <c r="N163" s="214">
        <f t="shared" ref="N163:N176" si="27">M163+L163</f>
        <v>29457518973</v>
      </c>
    </row>
    <row r="164" spans="1:14">
      <c r="A164" s="123">
        <v>1</v>
      </c>
      <c r="C164" s="130" t="s">
        <v>764</v>
      </c>
      <c r="D164" s="124">
        <v>1</v>
      </c>
      <c r="E164" s="124" t="s">
        <v>384</v>
      </c>
      <c r="F164" s="124">
        <v>3633526379</v>
      </c>
      <c r="G164" s="357">
        <f>F164/N$163</f>
        <v>0.12334801115906592</v>
      </c>
      <c r="H164" s="359"/>
      <c r="I164" s="124"/>
      <c r="J164" s="124"/>
      <c r="K164" s="124" t="s">
        <v>236</v>
      </c>
      <c r="L164" s="928">
        <v>41241919609</v>
      </c>
      <c r="M164">
        <v>31184532311</v>
      </c>
      <c r="N164" s="214">
        <f t="shared" si="27"/>
        <v>72426451920</v>
      </c>
    </row>
    <row r="165" spans="1:14">
      <c r="A165" s="123">
        <v>2</v>
      </c>
      <c r="C165" s="130" t="s">
        <v>765</v>
      </c>
      <c r="D165" s="124">
        <v>2</v>
      </c>
      <c r="E165" s="124" t="s">
        <v>387</v>
      </c>
      <c r="F165" s="124">
        <v>2707211180</v>
      </c>
      <c r="G165" s="357">
        <f t="shared" ref="G165:G166" si="28">F165/N$163</f>
        <v>9.1902212894485774E-2</v>
      </c>
      <c r="H165" s="359"/>
      <c r="I165" s="124"/>
      <c r="J165" s="124"/>
      <c r="K165" s="124" t="s">
        <v>114</v>
      </c>
      <c r="L165" s="928">
        <v>7002141466</v>
      </c>
      <c r="M165">
        <v>7472667693</v>
      </c>
      <c r="N165" s="214">
        <f t="shared" si="27"/>
        <v>14474809159</v>
      </c>
    </row>
    <row r="166" spans="1:14">
      <c r="A166" s="123">
        <v>3</v>
      </c>
      <c r="C166" s="130" t="s">
        <v>766</v>
      </c>
      <c r="D166" s="124">
        <v>3</v>
      </c>
      <c r="E166" s="124" t="s">
        <v>388</v>
      </c>
      <c r="F166" s="124">
        <v>2665862215</v>
      </c>
      <c r="G166" s="357">
        <f t="shared" si="28"/>
        <v>9.0498531714210573E-2</v>
      </c>
      <c r="H166" s="359"/>
      <c r="I166" s="124"/>
      <c r="J166" s="124"/>
      <c r="K166" s="124" t="s">
        <v>237</v>
      </c>
      <c r="L166" s="928">
        <v>1788848018</v>
      </c>
      <c r="M166">
        <v>4155894983</v>
      </c>
      <c r="N166" s="214">
        <f t="shared" si="27"/>
        <v>5944743001</v>
      </c>
    </row>
    <row r="167" spans="1:14">
      <c r="A167" s="123">
        <v>1</v>
      </c>
      <c r="C167" s="130" t="s">
        <v>767</v>
      </c>
      <c r="D167" s="124">
        <v>1</v>
      </c>
      <c r="E167" s="124" t="s">
        <v>385</v>
      </c>
      <c r="F167" s="124">
        <v>18236481209</v>
      </c>
      <c r="G167" s="357">
        <f>F167/N$164</f>
        <v>0.25179310494380491</v>
      </c>
      <c r="H167" s="359"/>
      <c r="I167" s="124"/>
      <c r="J167" s="124"/>
      <c r="K167" s="124" t="s">
        <v>238</v>
      </c>
      <c r="L167" s="928">
        <v>4722165515</v>
      </c>
      <c r="M167">
        <v>4750550264</v>
      </c>
      <c r="N167" s="214">
        <f t="shared" si="27"/>
        <v>9472715779</v>
      </c>
    </row>
    <row r="168" spans="1:14">
      <c r="A168" s="123">
        <v>2</v>
      </c>
      <c r="C168" s="130" t="s">
        <v>768</v>
      </c>
      <c r="D168" s="124">
        <v>2</v>
      </c>
      <c r="E168" s="124" t="s">
        <v>386</v>
      </c>
      <c r="F168" s="124">
        <v>9249019785</v>
      </c>
      <c r="G168" s="357">
        <f t="shared" ref="G168:G169" si="29">F168/N$164</f>
        <v>0.12770223502341629</v>
      </c>
      <c r="H168" s="359"/>
      <c r="I168" s="124"/>
      <c r="J168" s="124"/>
      <c r="K168" s="124" t="s">
        <v>239</v>
      </c>
      <c r="L168" s="928">
        <v>11265585900</v>
      </c>
      <c r="M168">
        <v>11743818854</v>
      </c>
      <c r="N168" s="214">
        <f t="shared" si="27"/>
        <v>23009404754</v>
      </c>
    </row>
    <row r="169" spans="1:14">
      <c r="A169" s="123">
        <v>3</v>
      </c>
      <c r="C169" s="130" t="s">
        <v>769</v>
      </c>
      <c r="D169" s="124">
        <v>3</v>
      </c>
      <c r="E169" s="124" t="s">
        <v>382</v>
      </c>
      <c r="F169" s="124">
        <v>7401506441</v>
      </c>
      <c r="G169" s="357">
        <f t="shared" si="29"/>
        <v>0.10219341476475298</v>
      </c>
      <c r="H169" s="359"/>
      <c r="I169" s="124"/>
      <c r="J169" s="124"/>
      <c r="K169" s="124" t="s">
        <v>240</v>
      </c>
      <c r="L169" s="928">
        <v>7375486146</v>
      </c>
      <c r="M169">
        <v>8419626025</v>
      </c>
      <c r="N169" s="214">
        <f t="shared" si="27"/>
        <v>15795112171</v>
      </c>
    </row>
    <row r="170" spans="1:14">
      <c r="A170" s="123">
        <v>1</v>
      </c>
      <c r="C170" s="130" t="s">
        <v>770</v>
      </c>
      <c r="D170" s="124">
        <v>1</v>
      </c>
      <c r="E170" s="927" t="s">
        <v>382</v>
      </c>
      <c r="F170" s="925">
        <v>2658063524</v>
      </c>
      <c r="G170" s="357">
        <f>F170/N$165</f>
        <v>0.18363375259751152</v>
      </c>
      <c r="H170" s="359"/>
      <c r="I170" s="124"/>
      <c r="J170" s="124"/>
      <c r="K170" s="124" t="s">
        <v>241</v>
      </c>
      <c r="L170" s="928">
        <v>22264885486</v>
      </c>
      <c r="M170">
        <v>28175096261</v>
      </c>
      <c r="N170" s="214">
        <f t="shared" si="27"/>
        <v>50439981747</v>
      </c>
    </row>
    <row r="171" spans="1:14">
      <c r="A171" s="123">
        <v>2</v>
      </c>
      <c r="C171" s="130" t="s">
        <v>771</v>
      </c>
      <c r="D171" s="124">
        <v>2</v>
      </c>
      <c r="E171" s="927" t="s">
        <v>385</v>
      </c>
      <c r="F171" s="925">
        <v>1545330849</v>
      </c>
      <c r="G171" s="357">
        <f t="shared" ref="G171:G172" si="30">F171/N$165</f>
        <v>0.10676001541886719</v>
      </c>
      <c r="H171" s="359"/>
      <c r="I171" s="124"/>
      <c r="J171" s="124"/>
      <c r="K171" s="124" t="s">
        <v>247</v>
      </c>
      <c r="L171" s="928">
        <v>9921056327</v>
      </c>
      <c r="M171">
        <v>10596357185</v>
      </c>
      <c r="N171" s="214">
        <f t="shared" si="27"/>
        <v>20517413512</v>
      </c>
    </row>
    <row r="172" spans="1:14">
      <c r="A172" s="123">
        <v>3</v>
      </c>
      <c r="C172" s="130" t="s">
        <v>772</v>
      </c>
      <c r="D172" s="124">
        <v>3</v>
      </c>
      <c r="E172" s="927" t="s">
        <v>388</v>
      </c>
      <c r="F172" s="925">
        <v>1384654266</v>
      </c>
      <c r="G172" s="357">
        <f t="shared" si="30"/>
        <v>9.5659586996286142E-2</v>
      </c>
      <c r="H172" s="359"/>
      <c r="I172" s="124"/>
      <c r="J172" s="124"/>
      <c r="K172" s="124" t="s">
        <v>242</v>
      </c>
      <c r="L172" s="928">
        <v>19401893921</v>
      </c>
      <c r="M172">
        <v>18959887085</v>
      </c>
      <c r="N172" s="214">
        <f t="shared" si="27"/>
        <v>38361781006</v>
      </c>
    </row>
    <row r="173" spans="1:14">
      <c r="A173" s="123">
        <v>1</v>
      </c>
      <c r="C173" s="130" t="s">
        <v>773</v>
      </c>
      <c r="D173" s="124">
        <v>1</v>
      </c>
      <c r="E173" s="124" t="s">
        <v>388</v>
      </c>
      <c r="F173" s="124">
        <v>899031914</v>
      </c>
      <c r="G173" s="357">
        <f>F173/N$166</f>
        <v>0.15123141805268428</v>
      </c>
      <c r="H173" s="359"/>
      <c r="I173" s="124"/>
      <c r="J173" s="124"/>
      <c r="K173" s="124" t="s">
        <v>243</v>
      </c>
      <c r="L173" s="928">
        <v>15004873131</v>
      </c>
      <c r="M173">
        <v>17334927556</v>
      </c>
      <c r="N173" s="214">
        <f t="shared" si="27"/>
        <v>32339800687</v>
      </c>
    </row>
    <row r="174" spans="1:14">
      <c r="A174" s="123">
        <v>2</v>
      </c>
      <c r="C174" s="130" t="s">
        <v>774</v>
      </c>
      <c r="D174" s="124">
        <v>2</v>
      </c>
      <c r="E174" s="124" t="s">
        <v>392</v>
      </c>
      <c r="F174" s="124">
        <v>643731697</v>
      </c>
      <c r="G174" s="357">
        <f t="shared" ref="G174:G175" si="31">F174/N$166</f>
        <v>0.10828587491363616</v>
      </c>
      <c r="H174" s="359"/>
      <c r="I174" s="124"/>
      <c r="J174" s="124"/>
      <c r="K174" s="124" t="s">
        <v>244</v>
      </c>
      <c r="L174" s="928">
        <v>19314112248</v>
      </c>
      <c r="M174">
        <v>17312932378</v>
      </c>
      <c r="N174" s="214">
        <f t="shared" si="27"/>
        <v>36627044626</v>
      </c>
    </row>
    <row r="175" spans="1:14">
      <c r="A175" s="123">
        <v>3</v>
      </c>
      <c r="C175" s="130" t="s">
        <v>775</v>
      </c>
      <c r="D175" s="124">
        <v>3</v>
      </c>
      <c r="E175" s="124" t="s">
        <v>385</v>
      </c>
      <c r="F175" s="124">
        <v>465488802</v>
      </c>
      <c r="G175" s="357">
        <f t="shared" si="31"/>
        <v>7.8302594733144465E-2</v>
      </c>
      <c r="H175" s="359"/>
      <c r="I175" s="124"/>
      <c r="J175" s="124"/>
      <c r="K175" s="124" t="s">
        <v>245</v>
      </c>
      <c r="L175" s="928">
        <v>1116664758</v>
      </c>
      <c r="M175">
        <v>1535370512</v>
      </c>
      <c r="N175" s="214">
        <f t="shared" si="27"/>
        <v>2652035270</v>
      </c>
    </row>
    <row r="176" spans="1:14">
      <c r="A176" s="123">
        <v>1</v>
      </c>
      <c r="C176" s="130" t="s">
        <v>776</v>
      </c>
      <c r="D176" s="124">
        <v>1</v>
      </c>
      <c r="E176" s="124" t="s">
        <v>385</v>
      </c>
      <c r="F176" s="124">
        <v>1285002800</v>
      </c>
      <c r="G176" s="357">
        <f>F176/N$167</f>
        <v>0.13565305135077674</v>
      </c>
      <c r="H176" s="359"/>
      <c r="I176" s="124"/>
      <c r="J176" s="124"/>
      <c r="K176" s="124" t="s">
        <v>246</v>
      </c>
      <c r="L176" s="928">
        <v>1274759896</v>
      </c>
      <c r="M176">
        <v>1791430061</v>
      </c>
      <c r="N176" s="214">
        <f t="shared" si="27"/>
        <v>3066189957</v>
      </c>
    </row>
    <row r="177" spans="1:12">
      <c r="A177" s="123">
        <v>2</v>
      </c>
      <c r="C177" s="130" t="s">
        <v>777</v>
      </c>
      <c r="D177" s="124">
        <v>2</v>
      </c>
      <c r="E177" s="124" t="s">
        <v>388</v>
      </c>
      <c r="F177" s="124">
        <v>865706945</v>
      </c>
      <c r="G177" s="357">
        <f t="shared" ref="G177:G178" si="32">F177/N$167</f>
        <v>9.1389519668602315E-2</v>
      </c>
      <c r="H177" s="359"/>
      <c r="I177" s="124"/>
      <c r="J177" s="124"/>
      <c r="K177" s="124"/>
      <c r="L177" s="357"/>
    </row>
    <row r="178" spans="1:12">
      <c r="A178" s="123">
        <v>3</v>
      </c>
      <c r="C178" s="130" t="s">
        <v>778</v>
      </c>
      <c r="D178" s="124">
        <v>3</v>
      </c>
      <c r="E178" s="124" t="s">
        <v>396</v>
      </c>
      <c r="F178" s="124">
        <v>824743896</v>
      </c>
      <c r="G178" s="357">
        <f t="shared" si="32"/>
        <v>8.7065200227834261E-2</v>
      </c>
      <c r="H178" s="359"/>
      <c r="I178" s="124"/>
      <c r="J178" s="124"/>
      <c r="K178" s="124"/>
      <c r="L178" s="357"/>
    </row>
    <row r="179" spans="1:12">
      <c r="A179" s="123">
        <v>1</v>
      </c>
      <c r="C179" s="130" t="s">
        <v>779</v>
      </c>
      <c r="D179" s="124">
        <v>1</v>
      </c>
      <c r="E179" s="927" t="s">
        <v>385</v>
      </c>
      <c r="F179" s="925">
        <v>3050782042</v>
      </c>
      <c r="G179" s="357">
        <f>F179/N$168</f>
        <v>0.132588481736784</v>
      </c>
      <c r="H179" s="359"/>
      <c r="I179" s="124"/>
      <c r="J179" s="124"/>
      <c r="K179" s="124"/>
      <c r="L179" s="357"/>
    </row>
    <row r="180" spans="1:12">
      <c r="A180" s="123">
        <v>2</v>
      </c>
      <c r="C180" s="130" t="s">
        <v>780</v>
      </c>
      <c r="D180" s="124">
        <v>2</v>
      </c>
      <c r="E180" s="927" t="s">
        <v>387</v>
      </c>
      <c r="F180" s="925">
        <v>2685470958</v>
      </c>
      <c r="G180" s="357">
        <f t="shared" ref="G180:G181" si="33">F180/N$168</f>
        <v>0.11671188310654375</v>
      </c>
      <c r="H180" s="359"/>
      <c r="I180" s="124"/>
      <c r="J180" s="124"/>
      <c r="K180" s="124"/>
      <c r="L180" s="357"/>
    </row>
    <row r="181" spans="1:12">
      <c r="A181" s="123">
        <v>3</v>
      </c>
      <c r="C181" s="130" t="s">
        <v>781</v>
      </c>
      <c r="D181" s="124">
        <v>3</v>
      </c>
      <c r="E181" s="927" t="s">
        <v>384</v>
      </c>
      <c r="F181" s="925">
        <v>2660060054</v>
      </c>
      <c r="G181" s="357">
        <f t="shared" si="33"/>
        <v>0.11560751277312248</v>
      </c>
      <c r="H181" s="359"/>
      <c r="I181" s="124"/>
      <c r="J181" s="124"/>
      <c r="K181" s="124"/>
      <c r="L181" s="357"/>
    </row>
    <row r="182" spans="1:12">
      <c r="A182" s="123">
        <v>1</v>
      </c>
      <c r="C182" s="130" t="s">
        <v>782</v>
      </c>
      <c r="D182" s="124">
        <v>1</v>
      </c>
      <c r="E182" s="360" t="s">
        <v>385</v>
      </c>
      <c r="F182" s="124">
        <v>2706292057</v>
      </c>
      <c r="G182" s="357">
        <f>F182/N$169</f>
        <v>0.1713373116759995</v>
      </c>
      <c r="H182" s="359"/>
      <c r="I182" s="360"/>
      <c r="J182" s="360"/>
      <c r="K182" s="124"/>
      <c r="L182" s="357"/>
    </row>
    <row r="183" spans="1:12">
      <c r="A183" s="123">
        <v>2</v>
      </c>
      <c r="C183" s="130" t="s">
        <v>783</v>
      </c>
      <c r="D183" s="124">
        <v>2</v>
      </c>
      <c r="E183" s="360" t="s">
        <v>396</v>
      </c>
      <c r="F183" s="124">
        <v>1229453375</v>
      </c>
      <c r="G183" s="357">
        <f t="shared" ref="G183:G184" si="34">F183/N$169</f>
        <v>7.7837584291252454E-2</v>
      </c>
      <c r="H183" s="359"/>
      <c r="I183" s="360"/>
      <c r="J183" s="360"/>
      <c r="K183" s="124"/>
      <c r="L183" s="361"/>
    </row>
    <row r="184" spans="1:12">
      <c r="A184" s="123">
        <v>3</v>
      </c>
      <c r="C184" s="130" t="s">
        <v>784</v>
      </c>
      <c r="D184" s="124">
        <v>3</v>
      </c>
      <c r="E184" s="360" t="s">
        <v>388</v>
      </c>
      <c r="F184" s="124">
        <v>1125705632</v>
      </c>
      <c r="G184" s="357">
        <f t="shared" si="34"/>
        <v>7.1269239484529137E-2</v>
      </c>
      <c r="H184" s="359"/>
      <c r="I184" s="360"/>
      <c r="J184" s="360"/>
      <c r="K184" s="124"/>
      <c r="L184" s="361"/>
    </row>
    <row r="185" spans="1:12">
      <c r="A185" s="123">
        <v>1</v>
      </c>
      <c r="C185" s="130" t="s">
        <v>785</v>
      </c>
      <c r="D185" s="124">
        <v>1</v>
      </c>
      <c r="E185" s="360" t="s">
        <v>396</v>
      </c>
      <c r="F185" s="124">
        <v>10321043406</v>
      </c>
      <c r="G185" s="357">
        <f>F185/N$170</f>
        <v>0.20462028431669407</v>
      </c>
      <c r="H185" s="359"/>
      <c r="I185" s="360"/>
      <c r="J185" s="360"/>
      <c r="K185" s="124"/>
      <c r="L185" s="357"/>
    </row>
    <row r="186" spans="1:12">
      <c r="A186" s="123">
        <v>2</v>
      </c>
      <c r="C186" s="130" t="s">
        <v>786</v>
      </c>
      <c r="D186" s="124">
        <v>2</v>
      </c>
      <c r="E186" s="360" t="s">
        <v>385</v>
      </c>
      <c r="F186" s="124">
        <v>7073023693</v>
      </c>
      <c r="G186" s="357">
        <f t="shared" ref="G186:G187" si="35">F186/N$170</f>
        <v>0.14022653157325299</v>
      </c>
      <c r="H186" s="359"/>
      <c r="I186" s="360"/>
      <c r="J186" s="360"/>
      <c r="K186" s="124"/>
      <c r="L186" s="357"/>
    </row>
    <row r="187" spans="1:12">
      <c r="A187" s="123">
        <v>3</v>
      </c>
      <c r="C187" s="130" t="s">
        <v>787</v>
      </c>
      <c r="D187" s="124">
        <v>3</v>
      </c>
      <c r="E187" s="360" t="s">
        <v>387</v>
      </c>
      <c r="F187" s="124">
        <v>3821072971</v>
      </c>
      <c r="G187" s="357">
        <f t="shared" si="35"/>
        <v>7.5754844443956693E-2</v>
      </c>
      <c r="H187" s="359"/>
      <c r="I187" s="360"/>
      <c r="J187" s="360"/>
      <c r="K187" s="124"/>
      <c r="L187" s="357"/>
    </row>
    <row r="188" spans="1:12">
      <c r="A188" s="123">
        <v>1</v>
      </c>
      <c r="C188" s="130" t="s">
        <v>1132</v>
      </c>
      <c r="D188" s="124">
        <v>1</v>
      </c>
      <c r="E188" s="927" t="s">
        <v>396</v>
      </c>
      <c r="F188" s="925">
        <v>3129026336</v>
      </c>
      <c r="G188" s="357">
        <f>F188/N$171</f>
        <v>0.15250588648369004</v>
      </c>
      <c r="H188" s="359"/>
      <c r="I188" s="124"/>
      <c r="J188" s="124"/>
      <c r="K188" s="124"/>
      <c r="L188" s="357"/>
    </row>
    <row r="189" spans="1:12">
      <c r="A189" s="123">
        <v>2</v>
      </c>
      <c r="C189" s="130" t="s">
        <v>1133</v>
      </c>
      <c r="D189" s="124">
        <v>2</v>
      </c>
      <c r="E189" s="927" t="s">
        <v>385</v>
      </c>
      <c r="F189" s="925">
        <v>2953574700</v>
      </c>
      <c r="G189" s="357">
        <f t="shared" ref="G189:G190" si="36">F189/N$171</f>
        <v>0.14395453395100438</v>
      </c>
      <c r="H189" s="359"/>
      <c r="I189" s="124"/>
      <c r="J189" s="124"/>
      <c r="K189" s="124"/>
      <c r="L189" s="357"/>
    </row>
    <row r="190" spans="1:12">
      <c r="A190" s="123">
        <v>3</v>
      </c>
      <c r="C190" s="130" t="s">
        <v>1134</v>
      </c>
      <c r="D190" s="124">
        <v>3</v>
      </c>
      <c r="E190" s="927" t="s">
        <v>386</v>
      </c>
      <c r="F190" s="925">
        <v>1651975525</v>
      </c>
      <c r="G190" s="357">
        <f t="shared" si="36"/>
        <v>8.0515778659615678E-2</v>
      </c>
      <c r="H190" s="359"/>
      <c r="I190" s="124"/>
      <c r="J190" s="124"/>
      <c r="K190" s="124"/>
      <c r="L190" s="357"/>
    </row>
    <row r="191" spans="1:12">
      <c r="A191" s="123">
        <v>1</v>
      </c>
      <c r="C191" s="130" t="s">
        <v>788</v>
      </c>
      <c r="D191" s="124">
        <v>1</v>
      </c>
      <c r="E191" s="124" t="s">
        <v>385</v>
      </c>
      <c r="F191" s="124">
        <v>12372883643</v>
      </c>
      <c r="G191" s="357">
        <f>F191/N$172</f>
        <v>0.32253152274303454</v>
      </c>
      <c r="H191" s="359"/>
      <c r="I191" s="124"/>
      <c r="J191" s="124"/>
      <c r="K191" s="124"/>
      <c r="L191" s="357"/>
    </row>
    <row r="192" spans="1:12">
      <c r="A192" s="123">
        <v>2</v>
      </c>
      <c r="C192" s="130" t="s">
        <v>789</v>
      </c>
      <c r="D192" s="124">
        <v>2</v>
      </c>
      <c r="E192" s="124" t="s">
        <v>382</v>
      </c>
      <c r="F192" s="124">
        <v>3341376020</v>
      </c>
      <c r="G192" s="357">
        <f t="shared" ref="G192:G193" si="37">F192/N$172</f>
        <v>8.7101691641412321E-2</v>
      </c>
      <c r="H192" s="359"/>
      <c r="I192" s="124"/>
      <c r="J192" s="124"/>
      <c r="K192" s="124"/>
      <c r="L192" s="357"/>
    </row>
    <row r="193" spans="1:12">
      <c r="A193" s="123">
        <v>3</v>
      </c>
      <c r="C193" s="130" t="s">
        <v>790</v>
      </c>
      <c r="D193" s="124">
        <v>3</v>
      </c>
      <c r="E193" s="124" t="s">
        <v>1896</v>
      </c>
      <c r="F193" s="124">
        <v>2417761269</v>
      </c>
      <c r="G193" s="357">
        <f t="shared" si="37"/>
        <v>6.3025261226058518E-2</v>
      </c>
      <c r="H193" s="359"/>
      <c r="I193" s="124"/>
      <c r="J193" s="124"/>
      <c r="K193" s="124"/>
      <c r="L193" s="357"/>
    </row>
    <row r="194" spans="1:12">
      <c r="A194" s="123">
        <v>1</v>
      </c>
      <c r="C194" s="130" t="s">
        <v>791</v>
      </c>
      <c r="D194" s="124">
        <v>1</v>
      </c>
      <c r="E194" s="927" t="s">
        <v>385</v>
      </c>
      <c r="F194" s="925">
        <v>5900326446</v>
      </c>
      <c r="G194" s="357">
        <f>F194/N$173</f>
        <v>0.18244782962969286</v>
      </c>
      <c r="H194" s="359"/>
      <c r="I194" s="124"/>
      <c r="J194" s="124"/>
      <c r="K194" s="124"/>
      <c r="L194" s="357"/>
    </row>
    <row r="195" spans="1:12">
      <c r="A195" s="123">
        <v>2</v>
      </c>
      <c r="C195" s="130" t="s">
        <v>792</v>
      </c>
      <c r="D195" s="124">
        <v>2</v>
      </c>
      <c r="E195" s="927" t="s">
        <v>384</v>
      </c>
      <c r="F195" s="925">
        <v>3525554237</v>
      </c>
      <c r="G195" s="357">
        <f t="shared" ref="G195:G196" si="38">F195/N$173</f>
        <v>0.10901595440002843</v>
      </c>
      <c r="H195" s="359"/>
      <c r="I195" s="124"/>
      <c r="J195" s="124"/>
      <c r="K195" s="124"/>
      <c r="L195" s="357"/>
    </row>
    <row r="196" spans="1:12">
      <c r="A196" s="123">
        <v>3</v>
      </c>
      <c r="C196" s="130" t="s">
        <v>793</v>
      </c>
      <c r="D196" s="124">
        <v>3</v>
      </c>
      <c r="E196" s="927" t="s">
        <v>388</v>
      </c>
      <c r="F196" s="925">
        <v>2941323335</v>
      </c>
      <c r="G196" s="357">
        <f t="shared" si="38"/>
        <v>9.0950570891500812E-2</v>
      </c>
      <c r="H196" s="359"/>
      <c r="I196" s="124"/>
      <c r="J196" s="124"/>
      <c r="K196" s="124"/>
      <c r="L196" s="357"/>
    </row>
    <row r="197" spans="1:12">
      <c r="A197" s="123">
        <v>1</v>
      </c>
      <c r="C197" s="130" t="s">
        <v>794</v>
      </c>
      <c r="D197" s="124">
        <v>1</v>
      </c>
      <c r="E197" s="124" t="s">
        <v>398</v>
      </c>
      <c r="F197" s="124">
        <v>3695918838</v>
      </c>
      <c r="G197" s="357">
        <f>F197/N$174</f>
        <v>0.10090682651956097</v>
      </c>
      <c r="H197" s="359"/>
      <c r="I197" s="124"/>
      <c r="J197" s="124"/>
      <c r="K197" s="124"/>
      <c r="L197" s="357"/>
    </row>
    <row r="198" spans="1:12">
      <c r="A198" s="123">
        <v>2</v>
      </c>
      <c r="C198" s="130" t="s">
        <v>795</v>
      </c>
      <c r="D198" s="124">
        <v>2</v>
      </c>
      <c r="E198" s="124" t="s">
        <v>396</v>
      </c>
      <c r="F198" s="124">
        <v>3267645106</v>
      </c>
      <c r="G198" s="357">
        <f t="shared" ref="G198:G199" si="39">F198/N$174</f>
        <v>8.9213998545774997E-2</v>
      </c>
      <c r="H198" s="359"/>
      <c r="I198" s="124"/>
      <c r="J198" s="124"/>
      <c r="K198" s="124"/>
      <c r="L198" s="357"/>
    </row>
    <row r="199" spans="1:12">
      <c r="A199" s="123">
        <v>3</v>
      </c>
      <c r="C199" s="130" t="s">
        <v>796</v>
      </c>
      <c r="D199" s="124">
        <v>3</v>
      </c>
      <c r="E199" s="124" t="s">
        <v>385</v>
      </c>
      <c r="F199" s="124">
        <v>3194120988</v>
      </c>
      <c r="G199" s="357">
        <f t="shared" si="39"/>
        <v>8.7206626158765427E-2</v>
      </c>
      <c r="H199" s="359"/>
      <c r="I199" s="124"/>
      <c r="J199" s="124"/>
      <c r="K199" s="124"/>
      <c r="L199" s="357"/>
    </row>
    <row r="200" spans="1:12">
      <c r="A200" s="123">
        <v>1</v>
      </c>
      <c r="C200" s="130" t="s">
        <v>797</v>
      </c>
      <c r="D200" s="124">
        <v>1</v>
      </c>
      <c r="E200" s="124" t="s">
        <v>384</v>
      </c>
      <c r="F200" s="124">
        <v>420666801</v>
      </c>
      <c r="G200" s="357">
        <f>F200/N$175</f>
        <v>0.15862036442675215</v>
      </c>
      <c r="H200" s="359"/>
      <c r="I200" s="124"/>
      <c r="J200" s="124"/>
      <c r="K200" s="124"/>
      <c r="L200" s="357"/>
    </row>
    <row r="201" spans="1:12">
      <c r="A201" s="123">
        <v>2</v>
      </c>
      <c r="C201" s="130" t="s">
        <v>798</v>
      </c>
      <c r="D201" s="124">
        <v>2</v>
      </c>
      <c r="E201" s="124" t="s">
        <v>385</v>
      </c>
      <c r="F201" s="124">
        <v>248319147</v>
      </c>
      <c r="G201" s="357">
        <f t="shared" ref="G201:G202" si="40">F201/N$175</f>
        <v>9.3633425546410631E-2</v>
      </c>
      <c r="H201" s="359"/>
      <c r="I201" s="124"/>
      <c r="J201" s="124"/>
      <c r="K201" s="124"/>
      <c r="L201" s="357"/>
    </row>
    <row r="202" spans="1:12">
      <c r="A202" s="123">
        <v>3</v>
      </c>
      <c r="C202" s="130" t="s">
        <v>799</v>
      </c>
      <c r="D202" s="124">
        <v>3</v>
      </c>
      <c r="E202" s="124" t="s">
        <v>382</v>
      </c>
      <c r="F202" s="124">
        <v>192356791</v>
      </c>
      <c r="G202" s="357">
        <f t="shared" si="40"/>
        <v>7.2531761992743027E-2</v>
      </c>
      <c r="H202" s="359"/>
      <c r="I202" s="124"/>
      <c r="J202" s="124"/>
      <c r="K202" s="124"/>
      <c r="L202" s="357"/>
    </row>
    <row r="203" spans="1:12">
      <c r="A203" s="123">
        <v>1</v>
      </c>
      <c r="C203" s="130" t="s">
        <v>800</v>
      </c>
      <c r="D203" s="124">
        <v>1</v>
      </c>
      <c r="E203" s="927" t="s">
        <v>384</v>
      </c>
      <c r="F203" s="925">
        <v>381275667</v>
      </c>
      <c r="G203" s="357">
        <f>F203/N$176</f>
        <v>0.12434835165041276</v>
      </c>
      <c r="H203" s="359"/>
      <c r="I203" s="124"/>
      <c r="J203" s="124"/>
      <c r="K203" s="124"/>
      <c r="L203" s="357"/>
    </row>
    <row r="204" spans="1:12">
      <c r="A204" s="123">
        <v>2</v>
      </c>
      <c r="C204" s="130" t="s">
        <v>801</v>
      </c>
      <c r="D204" s="124">
        <v>2</v>
      </c>
      <c r="E204" s="927" t="s">
        <v>385</v>
      </c>
      <c r="F204" s="925">
        <v>373062450</v>
      </c>
      <c r="G204" s="357">
        <f t="shared" ref="G204:G205" si="41">F204/N$176</f>
        <v>0.12166971232434964</v>
      </c>
      <c r="H204" s="359"/>
      <c r="I204" s="124"/>
      <c r="J204" s="124"/>
      <c r="K204" s="124"/>
      <c r="L204" s="357"/>
    </row>
    <row r="205" spans="1:12">
      <c r="A205" s="123">
        <v>3</v>
      </c>
      <c r="C205" s="130" t="s">
        <v>802</v>
      </c>
      <c r="D205" s="124">
        <v>3</v>
      </c>
      <c r="E205" s="927" t="s">
        <v>388</v>
      </c>
      <c r="F205" s="925">
        <v>315561368</v>
      </c>
      <c r="G205" s="357">
        <f t="shared" si="41"/>
        <v>0.10291644432517461</v>
      </c>
      <c r="H205" s="359"/>
      <c r="I205" s="124"/>
      <c r="J205" s="124"/>
      <c r="K205" s="124"/>
      <c r="L205" s="357"/>
    </row>
    <row r="206" spans="1:12">
      <c r="A206" s="9"/>
      <c r="B206" s="9"/>
      <c r="C206" s="9"/>
      <c r="D206" s="131"/>
      <c r="E206" s="9"/>
      <c r="F206" s="131"/>
      <c r="G206" s="131"/>
      <c r="H206" s="131"/>
      <c r="I206" s="9"/>
      <c r="J206" s="9"/>
    </row>
    <row r="207" spans="1:12">
      <c r="A207" s="9"/>
      <c r="B207" s="9"/>
      <c r="C207" s="9"/>
      <c r="D207" s="131"/>
      <c r="E207" s="9"/>
      <c r="F207" s="131"/>
      <c r="G207" s="131"/>
      <c r="H207" s="131"/>
      <c r="I207" s="9"/>
      <c r="J207" s="9"/>
    </row>
    <row r="208" spans="1:12">
      <c r="A208" s="9"/>
      <c r="B208" s="9"/>
      <c r="C208" s="9"/>
      <c r="D208" s="131"/>
      <c r="E208" s="9"/>
      <c r="F208" s="131"/>
      <c r="G208" s="131"/>
      <c r="H208" s="131"/>
      <c r="I208" s="9"/>
      <c r="J208" s="9"/>
    </row>
    <row r="209" spans="1:14">
      <c r="A209" s="9"/>
      <c r="B209" s="9"/>
      <c r="C209" s="9"/>
      <c r="D209" s="131"/>
      <c r="E209" s="9"/>
      <c r="F209" s="131"/>
      <c r="G209" s="131"/>
      <c r="H209" s="131"/>
      <c r="I209" s="9"/>
      <c r="J209" s="9"/>
    </row>
    <row r="210" spans="1:14">
      <c r="A210" s="9"/>
      <c r="B210" s="9"/>
      <c r="C210" s="9"/>
      <c r="D210" s="131"/>
      <c r="E210" s="9"/>
      <c r="F210" s="131"/>
      <c r="G210" s="131"/>
      <c r="H210" s="131"/>
      <c r="I210" s="9"/>
      <c r="J210" s="9"/>
    </row>
    <row r="211" spans="1:14">
      <c r="A211" s="9"/>
      <c r="B211" s="9"/>
      <c r="C211" s="9"/>
      <c r="D211" s="131"/>
      <c r="E211" s="9"/>
      <c r="F211" s="131"/>
      <c r="G211" s="131"/>
      <c r="H211" s="131"/>
      <c r="I211" s="9"/>
      <c r="J211" s="9"/>
    </row>
    <row r="212" spans="1:14">
      <c r="A212" s="9"/>
      <c r="B212" s="9"/>
      <c r="C212" s="9"/>
      <c r="D212" s="131"/>
      <c r="E212" s="9"/>
      <c r="F212" s="131"/>
      <c r="G212" s="131"/>
      <c r="H212" s="131"/>
      <c r="I212" s="9"/>
      <c r="J212" s="9"/>
    </row>
    <row r="213" spans="1:14">
      <c r="A213" s="9"/>
      <c r="B213" s="9"/>
      <c r="C213" s="9"/>
      <c r="D213" s="131"/>
      <c r="E213" s="9"/>
      <c r="F213" s="131"/>
      <c r="G213" s="131"/>
      <c r="H213" s="131"/>
      <c r="I213" s="9"/>
      <c r="J213" s="9"/>
    </row>
    <row r="214" spans="1:14">
      <c r="A214" s="9"/>
      <c r="B214" s="9"/>
      <c r="C214" s="9"/>
      <c r="D214" s="131"/>
      <c r="E214" s="9"/>
      <c r="F214" s="131"/>
      <c r="G214" s="131"/>
      <c r="H214" s="131"/>
      <c r="I214" s="9"/>
      <c r="J214" s="9"/>
    </row>
    <row r="215" spans="1:14" ht="45">
      <c r="A215" s="134" t="s">
        <v>341</v>
      </c>
      <c r="B215" s="134" t="s">
        <v>331</v>
      </c>
      <c r="C215" s="134"/>
      <c r="D215" s="134" t="s">
        <v>403</v>
      </c>
      <c r="E215" s="134" t="s">
        <v>381</v>
      </c>
      <c r="F215" s="134" t="s">
        <v>343</v>
      </c>
      <c r="G215" s="134" t="s">
        <v>344</v>
      </c>
      <c r="H215" s="351" t="s">
        <v>345</v>
      </c>
      <c r="I215" s="135" t="s">
        <v>346</v>
      </c>
      <c r="J215" s="9"/>
      <c r="L215" t="s">
        <v>347</v>
      </c>
      <c r="M215" t="s">
        <v>348</v>
      </c>
      <c r="N215" t="s">
        <v>349</v>
      </c>
    </row>
    <row r="216" spans="1:14">
      <c r="A216" s="136" t="s">
        <v>254</v>
      </c>
      <c r="B216" s="136">
        <v>1</v>
      </c>
      <c r="C216" s="136"/>
      <c r="D216" s="353"/>
      <c r="E216" s="136" t="s">
        <v>382</v>
      </c>
      <c r="F216" s="137">
        <v>408022549</v>
      </c>
      <c r="G216" s="352" t="s">
        <v>351</v>
      </c>
      <c r="H216" s="350">
        <f>F216/$L$5</f>
        <v>0.14001761052413142</v>
      </c>
      <c r="I216" s="129">
        <v>0.16939680560738468</v>
      </c>
      <c r="J216" s="9"/>
      <c r="L216" t="s">
        <v>254</v>
      </c>
      <c r="M216">
        <v>2408679122</v>
      </c>
      <c r="N216">
        <v>2586457298</v>
      </c>
    </row>
    <row r="217" spans="1:14">
      <c r="A217" s="136" t="s">
        <v>254</v>
      </c>
      <c r="B217" s="136">
        <v>2</v>
      </c>
      <c r="C217" s="136"/>
      <c r="D217" s="353"/>
      <c r="E217" s="136" t="s">
        <v>383</v>
      </c>
      <c r="F217" s="137">
        <v>303389338</v>
      </c>
      <c r="G217" s="352" t="s">
        <v>351</v>
      </c>
      <c r="H217" s="350">
        <f>F217/$L$5</f>
        <v>0.10411152586877757</v>
      </c>
      <c r="I217" s="129">
        <v>0.12595672675075398</v>
      </c>
      <c r="J217" s="9"/>
      <c r="L217" t="s">
        <v>255</v>
      </c>
      <c r="M217">
        <v>11194940534</v>
      </c>
      <c r="N217">
        <v>17630805134</v>
      </c>
    </row>
    <row r="218" spans="1:14">
      <c r="A218" s="136" t="s">
        <v>254</v>
      </c>
      <c r="B218" s="136">
        <v>3</v>
      </c>
      <c r="C218" s="136"/>
      <c r="D218" s="353"/>
      <c r="E218" s="136" t="s">
        <v>384</v>
      </c>
      <c r="F218" s="137">
        <v>218003176</v>
      </c>
      <c r="G218" s="352" t="s">
        <v>351</v>
      </c>
      <c r="H218" s="350">
        <f>F218/$L$5</f>
        <v>7.4810286502552281E-2</v>
      </c>
      <c r="I218" s="129">
        <v>9.0507354843921792E-2</v>
      </c>
      <c r="J218" s="9"/>
      <c r="L218" t="s">
        <v>256</v>
      </c>
      <c r="M218">
        <v>31683297773</v>
      </c>
      <c r="N218">
        <v>25795495378</v>
      </c>
    </row>
    <row r="219" spans="1:14">
      <c r="A219" s="136" t="s">
        <v>254</v>
      </c>
      <c r="B219" s="136">
        <v>4</v>
      </c>
      <c r="C219" s="136"/>
      <c r="D219" s="353"/>
      <c r="E219" s="136" t="s">
        <v>385</v>
      </c>
      <c r="F219" s="137">
        <v>201966899</v>
      </c>
      <c r="G219" s="352" t="s">
        <v>351</v>
      </c>
      <c r="H219" s="350">
        <f>F219/$L$5</f>
        <v>6.9307254396248061E-2</v>
      </c>
      <c r="I219" s="129">
        <v>8.3849649027679829E-2</v>
      </c>
      <c r="J219" s="9"/>
      <c r="L219" t="s">
        <v>71</v>
      </c>
      <c r="M219">
        <v>5068402875</v>
      </c>
      <c r="N219">
        <v>5090701800</v>
      </c>
    </row>
    <row r="220" spans="1:14" ht="30">
      <c r="A220" s="136" t="s">
        <v>254</v>
      </c>
      <c r="B220" s="136">
        <v>5</v>
      </c>
      <c r="C220" s="136"/>
      <c r="D220" s="353"/>
      <c r="E220" s="136" t="s">
        <v>386</v>
      </c>
      <c r="F220" s="137">
        <v>121913931</v>
      </c>
      <c r="G220" s="352" t="s">
        <v>351</v>
      </c>
      <c r="H220" s="350">
        <f>F220/$L$5</f>
        <v>4.1836161628958972E-2</v>
      </c>
      <c r="I220" s="129">
        <v>5.0614434229317821E-2</v>
      </c>
      <c r="J220" s="9"/>
      <c r="L220" t="s">
        <v>257</v>
      </c>
      <c r="M220">
        <v>1775627436</v>
      </c>
      <c r="N220">
        <v>3473699639</v>
      </c>
    </row>
    <row r="221" spans="1:14">
      <c r="A221" s="136" t="s">
        <v>254</v>
      </c>
      <c r="B221" s="136">
        <v>1</v>
      </c>
      <c r="C221" s="136"/>
      <c r="D221" s="353"/>
      <c r="E221" s="136" t="s">
        <v>384</v>
      </c>
      <c r="F221" s="137">
        <v>586614947</v>
      </c>
      <c r="G221" s="352" t="s">
        <v>355</v>
      </c>
      <c r="H221" s="350">
        <f>F221/$M$5</f>
        <v>0.1742972303852787</v>
      </c>
      <c r="I221" s="129">
        <v>0.22680248672715569</v>
      </c>
      <c r="J221" s="9"/>
      <c r="L221" t="s">
        <v>258</v>
      </c>
      <c r="M221">
        <v>3166695676</v>
      </c>
      <c r="N221">
        <v>3460946403</v>
      </c>
    </row>
    <row r="222" spans="1:14">
      <c r="A222" s="136" t="s">
        <v>254</v>
      </c>
      <c r="B222" s="136">
        <v>2</v>
      </c>
      <c r="C222" s="136"/>
      <c r="D222" s="353"/>
      <c r="E222" s="136" t="s">
        <v>387</v>
      </c>
      <c r="F222" s="137">
        <v>254433729</v>
      </c>
      <c r="G222" s="352" t="s">
        <v>355</v>
      </c>
      <c r="H222" s="350">
        <f>F222/$M$5</f>
        <v>7.5598302614165336E-2</v>
      </c>
      <c r="I222" s="129">
        <v>9.8371517363438798E-2</v>
      </c>
      <c r="J222" s="9"/>
      <c r="L222" t="s">
        <v>259</v>
      </c>
      <c r="M222">
        <v>7760623199</v>
      </c>
      <c r="N222">
        <v>7317279303</v>
      </c>
    </row>
    <row r="223" spans="1:14">
      <c r="A223" s="136" t="s">
        <v>254</v>
      </c>
      <c r="B223" s="136">
        <v>3</v>
      </c>
      <c r="C223" s="136"/>
      <c r="D223" s="353"/>
      <c r="E223" s="136" t="s">
        <v>383</v>
      </c>
      <c r="F223" s="137">
        <v>241906512</v>
      </c>
      <c r="G223" s="352" t="s">
        <v>355</v>
      </c>
      <c r="H223" s="350">
        <f>F223/$M$5</f>
        <v>7.1876168974881555E-2</v>
      </c>
      <c r="I223" s="129">
        <v>9.3528129069463575E-2</v>
      </c>
      <c r="J223" s="9"/>
      <c r="L223" t="s">
        <v>260</v>
      </c>
      <c r="M223">
        <v>5012165281</v>
      </c>
      <c r="N223">
        <v>7842781606</v>
      </c>
    </row>
    <row r="224" spans="1:14">
      <c r="A224" s="136" t="s">
        <v>254</v>
      </c>
      <c r="B224" s="136">
        <v>4</v>
      </c>
      <c r="C224" s="136"/>
      <c r="D224" s="353"/>
      <c r="E224" s="136" t="s">
        <v>385</v>
      </c>
      <c r="F224" s="137">
        <v>137880970</v>
      </c>
      <c r="G224" s="352" t="s">
        <v>355</v>
      </c>
      <c r="H224" s="350">
        <f>F224/$M$5</f>
        <v>4.0967710278673991E-2</v>
      </c>
      <c r="I224" s="129">
        <v>5.3308813606401939E-2</v>
      </c>
      <c r="J224" s="9"/>
      <c r="L224" t="s">
        <v>261</v>
      </c>
      <c r="M224">
        <v>17550506449</v>
      </c>
      <c r="N224">
        <v>21955147262</v>
      </c>
    </row>
    <row r="225" spans="1:14">
      <c r="A225" s="136" t="s">
        <v>254</v>
      </c>
      <c r="B225" s="136">
        <v>5</v>
      </c>
      <c r="C225" s="136"/>
      <c r="D225" s="353"/>
      <c r="E225" s="136" t="s">
        <v>382</v>
      </c>
      <c r="F225" s="137">
        <v>112897505</v>
      </c>
      <c r="G225" s="352" t="s">
        <v>355</v>
      </c>
      <c r="H225" s="350">
        <f>F225/$M$5</f>
        <v>3.3544529575220923E-2</v>
      </c>
      <c r="I225" s="129">
        <v>4.3649475708452234E-2</v>
      </c>
      <c r="J225" s="9"/>
      <c r="L225" t="s">
        <v>263</v>
      </c>
      <c r="M225">
        <v>13546655269</v>
      </c>
      <c r="N225">
        <v>13340152830</v>
      </c>
    </row>
    <row r="226" spans="1:14">
      <c r="A226" s="136" t="s">
        <v>255</v>
      </c>
      <c r="B226" s="136">
        <v>1</v>
      </c>
      <c r="C226" s="136"/>
      <c r="D226" s="353"/>
      <c r="E226" s="136" t="s">
        <v>384</v>
      </c>
      <c r="F226" s="137">
        <v>1712235445</v>
      </c>
      <c r="G226" s="352" t="s">
        <v>351</v>
      </c>
      <c r="H226" s="350">
        <f>F226/$L$6</f>
        <v>0.12264357981460498</v>
      </c>
      <c r="I226" s="129">
        <v>0.15294725682550911</v>
      </c>
      <c r="J226" s="9"/>
      <c r="L226" t="s">
        <v>264</v>
      </c>
      <c r="M226">
        <v>10294854993</v>
      </c>
      <c r="N226">
        <v>13102087065</v>
      </c>
    </row>
    <row r="227" spans="1:14">
      <c r="A227" s="136" t="s">
        <v>255</v>
      </c>
      <c r="B227" s="136">
        <v>2</v>
      </c>
      <c r="C227" s="136"/>
      <c r="D227" s="353"/>
      <c r="E227" s="136" t="s">
        <v>388</v>
      </c>
      <c r="F227" s="137">
        <v>1176100142</v>
      </c>
      <c r="G227" s="352" t="s">
        <v>351</v>
      </c>
      <c r="H227" s="350">
        <f>F227/$L$6</f>
        <v>8.4241412042106889E-2</v>
      </c>
      <c r="I227" s="129">
        <v>0.1050563992214235</v>
      </c>
      <c r="J227" s="9"/>
      <c r="L227" t="s">
        <v>265</v>
      </c>
      <c r="M227">
        <v>15599086113</v>
      </c>
      <c r="N227">
        <v>19195716080</v>
      </c>
    </row>
    <row r="228" spans="1:14">
      <c r="A228" s="136" t="s">
        <v>255</v>
      </c>
      <c r="B228" s="136">
        <v>3</v>
      </c>
      <c r="C228" s="136"/>
      <c r="D228" s="353"/>
      <c r="E228" s="136" t="s">
        <v>385</v>
      </c>
      <c r="F228" s="137">
        <v>771401241</v>
      </c>
      <c r="G228" s="352" t="s">
        <v>351</v>
      </c>
      <c r="H228" s="350">
        <f>F228/$L$6</f>
        <v>5.5253738582469791E-2</v>
      </c>
      <c r="I228" s="129">
        <v>6.8906238372342207E-2</v>
      </c>
      <c r="J228" s="9"/>
      <c r="L228" t="s">
        <v>266</v>
      </c>
      <c r="M228">
        <v>832972314</v>
      </c>
      <c r="N228">
        <v>1041132247</v>
      </c>
    </row>
    <row r="229" spans="1:14">
      <c r="A229" s="136" t="s">
        <v>255</v>
      </c>
      <c r="B229" s="136">
        <v>4</v>
      </c>
      <c r="C229" s="136"/>
      <c r="D229" s="353"/>
      <c r="E229" s="136" t="s">
        <v>382</v>
      </c>
      <c r="F229" s="137">
        <v>576740702</v>
      </c>
      <c r="G229" s="352" t="s">
        <v>351</v>
      </c>
      <c r="H229" s="350">
        <f>F229/$L$6</f>
        <v>4.1310641316660929E-2</v>
      </c>
      <c r="I229" s="129">
        <v>5.1517978165974955E-2</v>
      </c>
      <c r="J229" s="9"/>
      <c r="L229" t="s">
        <v>267</v>
      </c>
      <c r="M229">
        <v>1088175903</v>
      </c>
      <c r="N229">
        <v>1395326072</v>
      </c>
    </row>
    <row r="230" spans="1:14">
      <c r="A230" s="136" t="s">
        <v>255</v>
      </c>
      <c r="B230" s="136">
        <v>5</v>
      </c>
      <c r="C230" s="136"/>
      <c r="D230" s="353"/>
      <c r="E230" s="136" t="s">
        <v>389</v>
      </c>
      <c r="F230" s="137">
        <v>516225076</v>
      </c>
      <c r="G230" s="352" t="s">
        <v>351</v>
      </c>
      <c r="H230" s="350">
        <f>F230/$L$6</f>
        <v>3.6976042924229104E-2</v>
      </c>
      <c r="I230" s="129">
        <v>4.6112355347684063E-2</v>
      </c>
      <c r="J230" s="9"/>
    </row>
    <row r="231" spans="1:14">
      <c r="A231" s="136" t="s">
        <v>255</v>
      </c>
      <c r="B231" s="136">
        <v>1</v>
      </c>
      <c r="C231" s="136"/>
      <c r="D231" s="353"/>
      <c r="E231" s="136" t="s">
        <v>389</v>
      </c>
      <c r="F231" s="137">
        <v>1878084732</v>
      </c>
      <c r="G231" s="352" t="s">
        <v>355</v>
      </c>
      <c r="H231" s="350">
        <f>F231/$M$6</f>
        <v>0.12119451232310799</v>
      </c>
      <c r="I231" s="129">
        <v>0.10652291360070794</v>
      </c>
      <c r="J231" s="9"/>
    </row>
    <row r="232" spans="1:14">
      <c r="A232" s="136" t="s">
        <v>255</v>
      </c>
      <c r="B232" s="136">
        <v>2</v>
      </c>
      <c r="C232" s="136"/>
      <c r="D232" s="353"/>
      <c r="E232" s="136" t="s">
        <v>387</v>
      </c>
      <c r="F232" s="137">
        <v>1728126479</v>
      </c>
      <c r="G232" s="352" t="s">
        <v>355</v>
      </c>
      <c r="H232" s="350">
        <f>F232/$M$6</f>
        <v>0.11151757015351463</v>
      </c>
      <c r="I232" s="129">
        <v>9.8017445367109574E-2</v>
      </c>
      <c r="J232" s="9"/>
    </row>
    <row r="233" spans="1:14">
      <c r="A233" s="136" t="s">
        <v>255</v>
      </c>
      <c r="B233" s="136">
        <v>3</v>
      </c>
      <c r="C233" s="136"/>
      <c r="D233" s="353"/>
      <c r="E233" s="136" t="s">
        <v>390</v>
      </c>
      <c r="F233" s="137">
        <v>1628510161</v>
      </c>
      <c r="G233" s="352" t="s">
        <v>355</v>
      </c>
      <c r="H233" s="350">
        <f>F233/$M$6</f>
        <v>0.10508923874027909</v>
      </c>
      <c r="I233" s="129">
        <v>9.2367316672311878E-2</v>
      </c>
      <c r="J233" s="9"/>
    </row>
    <row r="234" spans="1:14">
      <c r="A234" s="136" t="s">
        <v>255</v>
      </c>
      <c r="B234" s="136">
        <v>4</v>
      </c>
      <c r="C234" s="136"/>
      <c r="D234" s="353"/>
      <c r="E234" s="136" t="s">
        <v>384</v>
      </c>
      <c r="F234" s="137">
        <v>1066786427</v>
      </c>
      <c r="G234" s="352" t="s">
        <v>355</v>
      </c>
      <c r="H234" s="350">
        <f>F234/$M$6</f>
        <v>6.8840696359580358E-2</v>
      </c>
      <c r="I234" s="129">
        <v>6.05069603397047E-2</v>
      </c>
      <c r="J234" s="9"/>
    </row>
    <row r="235" spans="1:14">
      <c r="A235" s="136" t="s">
        <v>255</v>
      </c>
      <c r="B235" s="136">
        <v>5</v>
      </c>
      <c r="C235" s="136"/>
      <c r="D235" s="353"/>
      <c r="E235" s="136" t="s">
        <v>391</v>
      </c>
      <c r="F235" s="137">
        <v>1014774146</v>
      </c>
      <c r="G235" s="352" t="s">
        <v>355</v>
      </c>
      <c r="H235" s="350">
        <f>F235/$M$6</f>
        <v>6.5484296659820987E-2</v>
      </c>
      <c r="I235" s="129">
        <v>5.7556880601162451E-2</v>
      </c>
      <c r="J235" s="9"/>
    </row>
    <row r="236" spans="1:14">
      <c r="A236" s="136" t="s">
        <v>256</v>
      </c>
      <c r="B236" s="136">
        <v>1</v>
      </c>
      <c r="C236" s="136"/>
      <c r="D236" s="353"/>
      <c r="E236" s="136" t="s">
        <v>385</v>
      </c>
      <c r="F236" s="137">
        <v>10336878764</v>
      </c>
      <c r="G236" s="352" t="s">
        <v>351</v>
      </c>
      <c r="H236" s="350">
        <f>F236/$L$7</f>
        <v>0.25064009779370794</v>
      </c>
      <c r="I236" s="129">
        <v>0.32625640291803598</v>
      </c>
      <c r="J236" s="9"/>
    </row>
    <row r="237" spans="1:14">
      <c r="A237" s="136" t="s">
        <v>256</v>
      </c>
      <c r="B237" s="136">
        <v>2</v>
      </c>
      <c r="C237" s="136"/>
      <c r="D237" s="353"/>
      <c r="E237" s="136" t="s">
        <v>387</v>
      </c>
      <c r="F237" s="137">
        <v>4400795477</v>
      </c>
      <c r="G237" s="352" t="s">
        <v>351</v>
      </c>
      <c r="H237" s="350">
        <f>F237/$L$7</f>
        <v>0.10670685357816463</v>
      </c>
      <c r="I237" s="129">
        <v>0.13889953970480584</v>
      </c>
      <c r="J237" s="9"/>
    </row>
    <row r="238" spans="1:14">
      <c r="A238" s="136" t="s">
        <v>256</v>
      </c>
      <c r="B238" s="136">
        <v>3</v>
      </c>
      <c r="C238" s="136"/>
      <c r="D238" s="353"/>
      <c r="E238" s="136" t="s">
        <v>382</v>
      </c>
      <c r="F238" s="137">
        <v>1675804933</v>
      </c>
      <c r="G238" s="352" t="s">
        <v>351</v>
      </c>
      <c r="H238" s="350">
        <f>F238/$L$7</f>
        <v>4.0633533765831266E-2</v>
      </c>
      <c r="I238" s="129">
        <v>5.2892377081658913E-2</v>
      </c>
      <c r="J238" s="9"/>
    </row>
    <row r="239" spans="1:14">
      <c r="A239" s="136" t="s">
        <v>256</v>
      </c>
      <c r="B239" s="136">
        <v>4</v>
      </c>
      <c r="C239" s="136"/>
      <c r="D239" s="353"/>
      <c r="E239" s="136" t="s">
        <v>392</v>
      </c>
      <c r="F239" s="137">
        <v>1199758283</v>
      </c>
      <c r="G239" s="352" t="s">
        <v>351</v>
      </c>
      <c r="H239" s="350">
        <f>F239/$L$7</f>
        <v>2.909074782101518E-2</v>
      </c>
      <c r="I239" s="129">
        <v>3.786721608324544E-2</v>
      </c>
      <c r="J239" s="9"/>
    </row>
    <row r="240" spans="1:14">
      <c r="A240" s="136" t="s">
        <v>256</v>
      </c>
      <c r="B240" s="136">
        <v>5</v>
      </c>
      <c r="C240" s="136"/>
      <c r="D240" s="353"/>
      <c r="E240" s="136" t="s">
        <v>393</v>
      </c>
      <c r="F240" s="137">
        <v>1146457126</v>
      </c>
      <c r="G240" s="352" t="s">
        <v>351</v>
      </c>
      <c r="H240" s="350">
        <f>F240/$L$7</f>
        <v>2.7798345393937843E-2</v>
      </c>
      <c r="I240" s="129">
        <v>3.6184905189288484E-2</v>
      </c>
      <c r="J240" s="9"/>
    </row>
    <row r="241" spans="1:10">
      <c r="A241" s="136" t="s">
        <v>256</v>
      </c>
      <c r="B241" s="136">
        <v>1</v>
      </c>
      <c r="C241" s="136"/>
      <c r="D241" s="353"/>
      <c r="E241" s="136" t="s">
        <v>385</v>
      </c>
      <c r="F241" s="137">
        <v>11053064369</v>
      </c>
      <c r="G241" s="352" t="s">
        <v>355</v>
      </c>
      <c r="H241" s="350">
        <f>F241/$M$7</f>
        <v>0.3544406008327774</v>
      </c>
      <c r="I241" s="129">
        <v>0.42848816070525009</v>
      </c>
      <c r="J241" s="9"/>
    </row>
    <row r="242" spans="1:10">
      <c r="A242" s="136" t="s">
        <v>256</v>
      </c>
      <c r="B242" s="136">
        <v>2</v>
      </c>
      <c r="C242" s="136"/>
      <c r="D242" s="353"/>
      <c r="E242" s="136" t="s">
        <v>382</v>
      </c>
      <c r="F242" s="137">
        <v>3939808297</v>
      </c>
      <c r="G242" s="352" t="s">
        <v>355</v>
      </c>
      <c r="H242" s="350">
        <f>F242/$M$7</f>
        <v>0.12633854045681089</v>
      </c>
      <c r="I242" s="129">
        <v>0.15273241468198798</v>
      </c>
      <c r="J242" s="9"/>
    </row>
    <row r="243" spans="1:10" ht="60">
      <c r="A243" s="136" t="s">
        <v>256</v>
      </c>
      <c r="B243" s="136">
        <v>3</v>
      </c>
      <c r="C243" s="136"/>
      <c r="D243" s="353"/>
      <c r="E243" s="136" t="s">
        <v>394</v>
      </c>
      <c r="F243" s="137">
        <v>2852181035</v>
      </c>
      <c r="G243" s="352" t="s">
        <v>355</v>
      </c>
      <c r="H243" s="350">
        <f>F243/$M$7</f>
        <v>9.1461401651161678E-2</v>
      </c>
      <c r="I243" s="129">
        <v>0.11056895761081281</v>
      </c>
      <c r="J243" s="9"/>
    </row>
    <row r="244" spans="1:10" ht="30">
      <c r="A244" s="136" t="s">
        <v>256</v>
      </c>
      <c r="B244" s="136">
        <v>4</v>
      </c>
      <c r="C244" s="136"/>
      <c r="D244" s="353"/>
      <c r="E244" s="136" t="s">
        <v>386</v>
      </c>
      <c r="F244" s="137">
        <v>1239212092</v>
      </c>
      <c r="G244" s="352" t="s">
        <v>355</v>
      </c>
      <c r="H244" s="350">
        <f>F244/$M$7</f>
        <v>3.9738036781872196E-2</v>
      </c>
      <c r="I244" s="129">
        <v>4.8039864086381417E-2</v>
      </c>
      <c r="J244" s="9"/>
    </row>
    <row r="245" spans="1:10">
      <c r="A245" s="136" t="s">
        <v>256</v>
      </c>
      <c r="B245" s="136">
        <v>5</v>
      </c>
      <c r="C245" s="136"/>
      <c r="D245" s="353"/>
      <c r="E245" s="136" t="s">
        <v>388</v>
      </c>
      <c r="F245" s="137">
        <v>694363688</v>
      </c>
      <c r="G245" s="352" t="s">
        <v>355</v>
      </c>
      <c r="H245" s="350">
        <f>F245/$M$7</f>
        <v>2.22662851273569E-2</v>
      </c>
      <c r="I245" s="129">
        <v>2.6918021066274868E-2</v>
      </c>
      <c r="J245" s="9"/>
    </row>
    <row r="246" spans="1:10">
      <c r="A246" s="136" t="s">
        <v>71</v>
      </c>
      <c r="B246" s="136">
        <v>1</v>
      </c>
      <c r="C246" s="136"/>
      <c r="D246" s="353"/>
      <c r="E246" s="136" t="s">
        <v>382</v>
      </c>
      <c r="F246" s="137">
        <v>1488668036</v>
      </c>
      <c r="G246" s="352" t="s">
        <v>351</v>
      </c>
      <c r="H246" s="350">
        <f>F246/$L$8</f>
        <v>0.21260182234655811</v>
      </c>
      <c r="I246" s="129">
        <v>0.29371541148453001</v>
      </c>
      <c r="J246" s="9"/>
    </row>
    <row r="247" spans="1:10">
      <c r="A247" s="136" t="s">
        <v>71</v>
      </c>
      <c r="B247" s="136">
        <v>2</v>
      </c>
      <c r="C247" s="136"/>
      <c r="D247" s="353"/>
      <c r="E247" s="136" t="s">
        <v>385</v>
      </c>
      <c r="F247" s="137">
        <v>477382135</v>
      </c>
      <c r="G247" s="352" t="s">
        <v>351</v>
      </c>
      <c r="H247" s="350">
        <f>F247/$L$8</f>
        <v>6.8176591021190322E-2</v>
      </c>
      <c r="I247" s="129">
        <v>9.4187882607891543E-2</v>
      </c>
      <c r="J247" s="9"/>
    </row>
    <row r="248" spans="1:10">
      <c r="A248" s="136" t="s">
        <v>71</v>
      </c>
      <c r="B248" s="136">
        <v>3</v>
      </c>
      <c r="C248" s="136"/>
      <c r="D248" s="353"/>
      <c r="E248" s="136" t="s">
        <v>388</v>
      </c>
      <c r="F248" s="137">
        <v>445047493</v>
      </c>
      <c r="G248" s="352" t="s">
        <v>351</v>
      </c>
      <c r="H248" s="350">
        <f>F248/$L$8</f>
        <v>6.3558769150980188E-2</v>
      </c>
      <c r="I248" s="129">
        <v>8.780823150330172E-2</v>
      </c>
      <c r="J248" s="9"/>
    </row>
    <row r="249" spans="1:10" ht="30">
      <c r="A249" s="136" t="s">
        <v>71</v>
      </c>
      <c r="B249" s="136">
        <v>4</v>
      </c>
      <c r="C249" s="136"/>
      <c r="D249" s="353"/>
      <c r="E249" s="136" t="s">
        <v>386</v>
      </c>
      <c r="F249" s="137">
        <v>316452137</v>
      </c>
      <c r="G249" s="352" t="s">
        <v>351</v>
      </c>
      <c r="H249" s="350">
        <f>F249/$L$8</f>
        <v>4.519362234204824E-2</v>
      </c>
      <c r="I249" s="129">
        <v>6.2436263415622813E-2</v>
      </c>
      <c r="J249" s="9"/>
    </row>
    <row r="250" spans="1:10">
      <c r="A250" s="136" t="s">
        <v>71</v>
      </c>
      <c r="B250" s="136">
        <v>5</v>
      </c>
      <c r="C250" s="136"/>
      <c r="D250" s="353"/>
      <c r="E250" s="136" t="s">
        <v>387</v>
      </c>
      <c r="F250" s="137">
        <v>287808052</v>
      </c>
      <c r="G250" s="352" t="s">
        <v>351</v>
      </c>
      <c r="H250" s="350">
        <f>F250/$L$8</f>
        <v>4.1102861659893235E-2</v>
      </c>
      <c r="I250" s="129">
        <v>5.6784762201840554E-2</v>
      </c>
      <c r="J250" s="9"/>
    </row>
    <row r="251" spans="1:10">
      <c r="A251" s="136" t="s">
        <v>71</v>
      </c>
      <c r="B251" s="136">
        <v>1</v>
      </c>
      <c r="C251" s="136"/>
      <c r="D251" s="353"/>
      <c r="E251" s="136" t="s">
        <v>382</v>
      </c>
      <c r="F251" s="137">
        <v>677278750</v>
      </c>
      <c r="G251" s="352" t="s">
        <v>355</v>
      </c>
      <c r="H251" s="350">
        <f>F251/$M$8</f>
        <v>9.0634131989361572E-2</v>
      </c>
      <c r="I251" s="129">
        <v>0.13304231451938511</v>
      </c>
      <c r="J251" s="9"/>
    </row>
    <row r="252" spans="1:10">
      <c r="A252" s="136" t="s">
        <v>71</v>
      </c>
      <c r="B252" s="136">
        <v>2</v>
      </c>
      <c r="C252" s="136"/>
      <c r="D252" s="353"/>
      <c r="E252" s="136" t="s">
        <v>388</v>
      </c>
      <c r="F252" s="137">
        <v>542927173</v>
      </c>
      <c r="G252" s="352" t="s">
        <v>355</v>
      </c>
      <c r="H252" s="350">
        <f>F252/$M$8</f>
        <v>7.2655067146714616E-2</v>
      </c>
      <c r="I252" s="129">
        <v>0.10665075157220956</v>
      </c>
      <c r="J252" s="9"/>
    </row>
    <row r="253" spans="1:10">
      <c r="A253" s="136" t="s">
        <v>71</v>
      </c>
      <c r="B253" s="136">
        <v>3</v>
      </c>
      <c r="C253" s="136"/>
      <c r="D253" s="353"/>
      <c r="E253" s="136" t="s">
        <v>387</v>
      </c>
      <c r="F253" s="137">
        <v>489870936</v>
      </c>
      <c r="G253" s="352" t="s">
        <v>355</v>
      </c>
      <c r="H253" s="350">
        <f>F253/$M$8</f>
        <v>6.5555027484881359E-2</v>
      </c>
      <c r="I253" s="129">
        <v>9.6228566363875404E-2</v>
      </c>
      <c r="J253" s="9"/>
    </row>
    <row r="254" spans="1:10">
      <c r="A254" s="136" t="s">
        <v>71</v>
      </c>
      <c r="B254" s="136">
        <v>4</v>
      </c>
      <c r="C254" s="136"/>
      <c r="D254" s="353"/>
      <c r="E254" s="136" t="s">
        <v>385</v>
      </c>
      <c r="F254" s="137">
        <v>479546780</v>
      </c>
      <c r="G254" s="352" t="s">
        <v>355</v>
      </c>
      <c r="H254" s="350">
        <f>F254/$M$8</f>
        <v>6.4173438416004244E-2</v>
      </c>
      <c r="I254" s="129">
        <v>9.4200524572073743E-2</v>
      </c>
      <c r="J254" s="9"/>
    </row>
    <row r="255" spans="1:10" ht="45">
      <c r="A255" s="136" t="s">
        <v>71</v>
      </c>
      <c r="B255" s="136">
        <v>5</v>
      </c>
      <c r="C255" s="136"/>
      <c r="D255" s="353"/>
      <c r="E255" s="136" t="s">
        <v>395</v>
      </c>
      <c r="F255" s="137">
        <v>431196825</v>
      </c>
      <c r="G255" s="352" t="s">
        <v>355</v>
      </c>
      <c r="H255" s="350">
        <f>F255/$M$8</f>
        <v>5.7703198203758264E-2</v>
      </c>
      <c r="I255" s="129">
        <v>8.4702825256824113E-2</v>
      </c>
      <c r="J255" s="9"/>
    </row>
    <row r="256" spans="1:10">
      <c r="A256" s="136" t="s">
        <v>257</v>
      </c>
      <c r="B256" s="136">
        <v>1</v>
      </c>
      <c r="C256" s="136"/>
      <c r="D256" s="353"/>
      <c r="E256" s="136" t="s">
        <v>382</v>
      </c>
      <c r="F256" s="137">
        <v>281077405</v>
      </c>
      <c r="G256" s="352" t="s">
        <v>351</v>
      </c>
      <c r="H256" s="350">
        <f>F256/$L$9</f>
        <v>0.15712760512447291</v>
      </c>
      <c r="I256" s="129">
        <v>0.158297511798528</v>
      </c>
      <c r="J256" s="9"/>
    </row>
    <row r="257" spans="1:10">
      <c r="A257" s="136" t="s">
        <v>257</v>
      </c>
      <c r="B257" s="136">
        <v>2</v>
      </c>
      <c r="C257" s="136"/>
      <c r="D257" s="353"/>
      <c r="E257" s="136" t="s">
        <v>389</v>
      </c>
      <c r="F257" s="137">
        <v>157108901</v>
      </c>
      <c r="G257" s="352" t="s">
        <v>351</v>
      </c>
      <c r="H257" s="350">
        <f>F257/$L$9</f>
        <v>8.7826858078001349E-2</v>
      </c>
      <c r="I257" s="129">
        <v>8.8480780266564876E-2</v>
      </c>
      <c r="J257" s="9"/>
    </row>
    <row r="258" spans="1:10">
      <c r="A258" s="136" t="s">
        <v>257</v>
      </c>
      <c r="B258" s="136">
        <v>3</v>
      </c>
      <c r="C258" s="136"/>
      <c r="D258" s="353"/>
      <c r="E258" s="136" t="s">
        <v>388</v>
      </c>
      <c r="F258" s="137">
        <v>156277382</v>
      </c>
      <c r="G258" s="352" t="s">
        <v>351</v>
      </c>
      <c r="H258" s="350">
        <f>F258/$L$9</f>
        <v>8.7362023172166431E-2</v>
      </c>
      <c r="I258" s="129">
        <v>8.8012484393713772E-2</v>
      </c>
      <c r="J258" s="9"/>
    </row>
    <row r="259" spans="1:10" ht="30">
      <c r="A259" s="136" t="s">
        <v>257</v>
      </c>
      <c r="B259" s="136">
        <v>4</v>
      </c>
      <c r="C259" s="136"/>
      <c r="D259" s="353"/>
      <c r="E259" s="136" t="s">
        <v>386</v>
      </c>
      <c r="F259" s="137">
        <v>79798666</v>
      </c>
      <c r="G259" s="352" t="s">
        <v>351</v>
      </c>
      <c r="H259" s="350">
        <f>F259/$L$9</f>
        <v>4.4608969122607707E-2</v>
      </c>
      <c r="I259" s="129">
        <v>4.4941108918526533E-2</v>
      </c>
      <c r="J259" s="9"/>
    </row>
    <row r="260" spans="1:10">
      <c r="A260" s="136" t="s">
        <v>257</v>
      </c>
      <c r="B260" s="136">
        <v>5</v>
      </c>
      <c r="C260" s="136"/>
      <c r="D260" s="353"/>
      <c r="E260" s="136" t="s">
        <v>387</v>
      </c>
      <c r="F260" s="137">
        <v>76116418</v>
      </c>
      <c r="G260" s="352" t="s">
        <v>351</v>
      </c>
      <c r="H260" s="350">
        <f>F260/$L$9</f>
        <v>4.255052259000798E-2</v>
      </c>
      <c r="I260" s="129">
        <v>4.2867336050781767E-2</v>
      </c>
      <c r="J260" s="9"/>
    </row>
    <row r="261" spans="1:10">
      <c r="A261" s="136" t="s">
        <v>257</v>
      </c>
      <c r="B261" s="136">
        <v>1</v>
      </c>
      <c r="C261" s="136"/>
      <c r="D261" s="353"/>
      <c r="E261" s="136" t="s">
        <v>384</v>
      </c>
      <c r="F261" s="137">
        <v>557079620</v>
      </c>
      <c r="G261" s="352" t="s">
        <v>355</v>
      </c>
      <c r="H261" s="350">
        <f>F261/$M$9</f>
        <v>0.13404564414615286</v>
      </c>
      <c r="I261" s="129">
        <v>0.16037069346628102</v>
      </c>
      <c r="J261" s="9"/>
    </row>
    <row r="262" spans="1:10">
      <c r="A262" s="136" t="s">
        <v>257</v>
      </c>
      <c r="B262" s="136">
        <v>2</v>
      </c>
      <c r="C262" s="136"/>
      <c r="D262" s="353"/>
      <c r="E262" s="136" t="s">
        <v>388</v>
      </c>
      <c r="F262" s="137">
        <v>545222302</v>
      </c>
      <c r="G262" s="352" t="s">
        <v>355</v>
      </c>
      <c r="H262" s="350">
        <f>F262/$M$9</f>
        <v>0.13119251189702164</v>
      </c>
      <c r="I262" s="129">
        <v>0.15695723829391225</v>
      </c>
      <c r="J262" s="9"/>
    </row>
    <row r="263" spans="1:10">
      <c r="A263" s="136" t="s">
        <v>257</v>
      </c>
      <c r="B263" s="136">
        <v>3</v>
      </c>
      <c r="C263" s="136"/>
      <c r="D263" s="353"/>
      <c r="E263" s="136" t="s">
        <v>392</v>
      </c>
      <c r="F263" s="137">
        <v>382135923</v>
      </c>
      <c r="G263" s="352" t="s">
        <v>355</v>
      </c>
      <c r="H263" s="350">
        <f>F263/$M$9</f>
        <v>9.1950331893167578E-2</v>
      </c>
      <c r="I263" s="129">
        <v>0.11000833771281628</v>
      </c>
      <c r="J263" s="9"/>
    </row>
    <row r="264" spans="1:10">
      <c r="A264" s="136" t="s">
        <v>257</v>
      </c>
      <c r="B264" s="136">
        <v>4</v>
      </c>
      <c r="C264" s="136"/>
      <c r="D264" s="353"/>
      <c r="E264" s="136" t="s">
        <v>387</v>
      </c>
      <c r="F264" s="137">
        <v>244419295</v>
      </c>
      <c r="G264" s="352" t="s">
        <v>355</v>
      </c>
      <c r="H264" s="350">
        <f>F264/$M$9</f>
        <v>5.8812673563652461E-2</v>
      </c>
      <c r="I264" s="129">
        <v>7.0362817860200141E-2</v>
      </c>
      <c r="J264" s="9"/>
    </row>
    <row r="265" spans="1:10">
      <c r="A265" s="136" t="s">
        <v>257</v>
      </c>
      <c r="B265" s="136">
        <v>5</v>
      </c>
      <c r="C265" s="136"/>
      <c r="D265" s="353"/>
      <c r="E265" s="136" t="s">
        <v>382</v>
      </c>
      <c r="F265" s="137">
        <v>233404452</v>
      </c>
      <c r="G265" s="352" t="s">
        <v>355</v>
      </c>
      <c r="H265" s="350">
        <f>F265/$M$9</f>
        <v>5.6162259382096617E-2</v>
      </c>
      <c r="I265" s="129">
        <v>6.7191892292446986E-2</v>
      </c>
      <c r="J265" s="9"/>
    </row>
    <row r="266" spans="1:10">
      <c r="A266" s="136" t="s">
        <v>258</v>
      </c>
      <c r="B266" s="136">
        <v>1</v>
      </c>
      <c r="C266" s="136"/>
      <c r="D266" s="353"/>
      <c r="E266" s="136" t="s">
        <v>385</v>
      </c>
      <c r="F266" s="137">
        <v>520670731</v>
      </c>
      <c r="G266" s="352" t="s">
        <v>351</v>
      </c>
      <c r="H266" s="350">
        <f>F266/$L$10</f>
        <v>0.11026100829081167</v>
      </c>
      <c r="I266" s="129">
        <v>0.16442082987200188</v>
      </c>
      <c r="J266" s="9"/>
    </row>
    <row r="267" spans="1:10">
      <c r="A267" s="136" t="s">
        <v>258</v>
      </c>
      <c r="B267" s="136">
        <v>2</v>
      </c>
      <c r="C267" s="136"/>
      <c r="D267" s="353"/>
      <c r="E267" s="136" t="s">
        <v>388</v>
      </c>
      <c r="F267" s="137">
        <v>305100341</v>
      </c>
      <c r="G267" s="352" t="s">
        <v>351</v>
      </c>
      <c r="H267" s="350">
        <f>F267/$L$10</f>
        <v>6.4610259854476951E-2</v>
      </c>
      <c r="I267" s="129">
        <v>9.6346593489332819E-2</v>
      </c>
      <c r="J267" s="9"/>
    </row>
    <row r="268" spans="1:10">
      <c r="A268" s="136" t="s">
        <v>258</v>
      </c>
      <c r="B268" s="136">
        <v>3</v>
      </c>
      <c r="C268" s="136"/>
      <c r="D268" s="353"/>
      <c r="E268" s="136" t="s">
        <v>396</v>
      </c>
      <c r="F268" s="137">
        <v>273129680</v>
      </c>
      <c r="G268" s="352" t="s">
        <v>351</v>
      </c>
      <c r="H268" s="350">
        <f>F268/$L$10</f>
        <v>5.7839920928735168E-2</v>
      </c>
      <c r="I268" s="129">
        <v>8.6250687765804745E-2</v>
      </c>
      <c r="J268" s="9"/>
    </row>
    <row r="269" spans="1:10" ht="30">
      <c r="A269" s="136" t="s">
        <v>258</v>
      </c>
      <c r="B269" s="136">
        <v>4</v>
      </c>
      <c r="C269" s="136"/>
      <c r="D269" s="353"/>
      <c r="E269" s="136" t="s">
        <v>386</v>
      </c>
      <c r="F269" s="137">
        <v>263640060</v>
      </c>
      <c r="G269" s="352" t="s">
        <v>351</v>
      </c>
      <c r="H269" s="350">
        <f>F269/$L$10</f>
        <v>5.5830330208152396E-2</v>
      </c>
      <c r="I269" s="129">
        <v>8.3253993112788152E-2</v>
      </c>
      <c r="J269" s="9"/>
    </row>
    <row r="270" spans="1:10">
      <c r="A270" s="136" t="s">
        <v>258</v>
      </c>
      <c r="B270" s="136">
        <v>5</v>
      </c>
      <c r="C270" s="136"/>
      <c r="D270" s="353"/>
      <c r="E270" s="136" t="s">
        <v>384</v>
      </c>
      <c r="F270" s="137">
        <v>248575088</v>
      </c>
      <c r="G270" s="352" t="s">
        <v>351</v>
      </c>
      <c r="H270" s="350">
        <f>F270/$L$10</f>
        <v>5.2640062532835638E-2</v>
      </c>
      <c r="I270" s="129">
        <v>7.8496677114861482E-2</v>
      </c>
      <c r="J270" s="9"/>
    </row>
    <row r="271" spans="1:10">
      <c r="A271" s="136" t="s">
        <v>258</v>
      </c>
      <c r="B271" s="136">
        <v>1</v>
      </c>
      <c r="C271" s="136"/>
      <c r="D271" s="353"/>
      <c r="E271" s="136" t="s">
        <v>385</v>
      </c>
      <c r="F271" s="137">
        <v>630384636</v>
      </c>
      <c r="G271" s="352" t="s">
        <v>355</v>
      </c>
      <c r="H271" s="350">
        <f>F271/$M$10</f>
        <v>0.13269718263526198</v>
      </c>
      <c r="I271" s="129">
        <v>0.18214227052276025</v>
      </c>
      <c r="J271" s="9"/>
    </row>
    <row r="272" spans="1:10">
      <c r="A272" s="136" t="s">
        <v>258</v>
      </c>
      <c r="B272" s="136">
        <v>2</v>
      </c>
      <c r="C272" s="136"/>
      <c r="D272" s="353"/>
      <c r="E272" s="136" t="s">
        <v>387</v>
      </c>
      <c r="F272" s="137">
        <v>385520895</v>
      </c>
      <c r="G272" s="352" t="s">
        <v>355</v>
      </c>
      <c r="H272" s="350">
        <f>F272/$M$10</f>
        <v>8.115289252310498E-2</v>
      </c>
      <c r="I272" s="129">
        <v>0.11139175534929542</v>
      </c>
      <c r="J272" s="9"/>
    </row>
    <row r="273" spans="1:10">
      <c r="A273" s="136" t="s">
        <v>258</v>
      </c>
      <c r="B273" s="136">
        <v>3</v>
      </c>
      <c r="C273" s="136"/>
      <c r="D273" s="353"/>
      <c r="E273" s="136" t="s">
        <v>396</v>
      </c>
      <c r="F273" s="137">
        <v>280137046</v>
      </c>
      <c r="G273" s="352" t="s">
        <v>355</v>
      </c>
      <c r="H273" s="350">
        <f>F273/$M$10</f>
        <v>5.8969388898565712E-2</v>
      </c>
      <c r="I273" s="129">
        <v>8.0942324260547066E-2</v>
      </c>
      <c r="J273" s="9"/>
    </row>
    <row r="274" spans="1:10">
      <c r="A274" s="136" t="s">
        <v>258</v>
      </c>
      <c r="B274" s="136">
        <v>4</v>
      </c>
      <c r="C274" s="136"/>
      <c r="D274" s="353"/>
      <c r="E274" s="136" t="s">
        <v>397</v>
      </c>
      <c r="F274" s="137">
        <v>254596262</v>
      </c>
      <c r="G274" s="352" t="s">
        <v>355</v>
      </c>
      <c r="H274" s="350">
        <f>F274/$M$10</f>
        <v>5.3593004568196691E-2</v>
      </c>
      <c r="I274" s="129">
        <v>7.3562613330074161E-2</v>
      </c>
      <c r="J274" s="9"/>
    </row>
    <row r="275" spans="1:10">
      <c r="A275" s="136" t="s">
        <v>258</v>
      </c>
      <c r="B275" s="136">
        <v>5</v>
      </c>
      <c r="C275" s="136"/>
      <c r="D275" s="353"/>
      <c r="E275" s="136" t="s">
        <v>388</v>
      </c>
      <c r="F275" s="137">
        <v>237335802</v>
      </c>
      <c r="G275" s="352" t="s">
        <v>355</v>
      </c>
      <c r="H275" s="350">
        <f>F275/$M$10</f>
        <v>4.9959644422362434E-2</v>
      </c>
      <c r="I275" s="129">
        <v>6.857540521120864E-2</v>
      </c>
      <c r="J275" s="9"/>
    </row>
    <row r="276" spans="1:10">
      <c r="A276" s="136" t="s">
        <v>259</v>
      </c>
      <c r="B276" s="136">
        <v>1</v>
      </c>
      <c r="C276" s="136"/>
      <c r="D276" s="353"/>
      <c r="E276" s="136" t="s">
        <v>385</v>
      </c>
      <c r="F276" s="137">
        <v>1082285013</v>
      </c>
      <c r="G276" s="352" t="s">
        <v>351</v>
      </c>
      <c r="H276" s="350">
        <f>F276/$L$11</f>
        <v>9.607001558614009E-2</v>
      </c>
      <c r="I276" s="129">
        <v>0.13945851837510401</v>
      </c>
      <c r="J276" s="9"/>
    </row>
    <row r="277" spans="1:10">
      <c r="A277" s="136" t="s">
        <v>259</v>
      </c>
      <c r="B277" s="136">
        <v>2</v>
      </c>
      <c r="C277" s="136"/>
      <c r="D277" s="353"/>
      <c r="E277" s="136" t="s">
        <v>382</v>
      </c>
      <c r="F277" s="137">
        <v>842616936</v>
      </c>
      <c r="G277" s="352" t="s">
        <v>351</v>
      </c>
      <c r="H277" s="350">
        <f>F277/$L$11</f>
        <v>7.4795660294951896E-2</v>
      </c>
      <c r="I277" s="129">
        <v>0.10857593705987116</v>
      </c>
      <c r="J277" s="9"/>
    </row>
    <row r="278" spans="1:10">
      <c r="A278" s="136" t="s">
        <v>259</v>
      </c>
      <c r="B278" s="136">
        <v>3</v>
      </c>
      <c r="C278" s="136"/>
      <c r="D278" s="353"/>
      <c r="E278" s="136" t="s">
        <v>388</v>
      </c>
      <c r="F278" s="137">
        <v>755357073</v>
      </c>
      <c r="G278" s="352" t="s">
        <v>351</v>
      </c>
      <c r="H278" s="350">
        <f>F278/$L$11</f>
        <v>6.7049959026099115E-2</v>
      </c>
      <c r="I278" s="129">
        <v>9.7332012343716412E-2</v>
      </c>
      <c r="J278" s="9"/>
    </row>
    <row r="279" spans="1:10">
      <c r="A279" s="136" t="s">
        <v>259</v>
      </c>
      <c r="B279" s="136">
        <v>4</v>
      </c>
      <c r="C279" s="136"/>
      <c r="D279" s="353"/>
      <c r="E279" s="136" t="s">
        <v>384</v>
      </c>
      <c r="F279" s="137">
        <v>711243212</v>
      </c>
      <c r="G279" s="352" t="s">
        <v>351</v>
      </c>
      <c r="H279" s="350">
        <f>F279/$L$11</f>
        <v>6.3134151948546241E-2</v>
      </c>
      <c r="I279" s="129">
        <v>9.1647692944510917E-2</v>
      </c>
      <c r="J279" s="9"/>
    </row>
    <row r="280" spans="1:10" ht="30">
      <c r="A280" s="136" t="s">
        <v>259</v>
      </c>
      <c r="B280" s="136">
        <v>5</v>
      </c>
      <c r="C280" s="136"/>
      <c r="D280" s="353"/>
      <c r="E280" s="136" t="s">
        <v>386</v>
      </c>
      <c r="F280" s="137">
        <v>438523460</v>
      </c>
      <c r="G280" s="352" t="s">
        <v>351</v>
      </c>
      <c r="H280" s="350">
        <f>F280/$L$11</f>
        <v>3.8925934602300621E-2</v>
      </c>
      <c r="I280" s="129">
        <v>5.6506217188396185E-2</v>
      </c>
      <c r="J280" s="9"/>
    </row>
    <row r="281" spans="1:10">
      <c r="A281" s="136" t="s">
        <v>259</v>
      </c>
      <c r="B281" s="136">
        <v>1</v>
      </c>
      <c r="C281" s="136"/>
      <c r="D281" s="353"/>
      <c r="E281" s="136" t="s">
        <v>384</v>
      </c>
      <c r="F281" s="137">
        <v>1011913735</v>
      </c>
      <c r="G281" s="352" t="s">
        <v>355</v>
      </c>
      <c r="H281" s="350">
        <f>F281/$M$11</f>
        <v>8.6165645739276486E-2</v>
      </c>
      <c r="I281" s="129">
        <v>0.13829098126473416</v>
      </c>
      <c r="J281" s="9"/>
    </row>
    <row r="282" spans="1:10">
      <c r="A282" s="136" t="s">
        <v>259</v>
      </c>
      <c r="B282" s="136">
        <v>2</v>
      </c>
      <c r="C282" s="136"/>
      <c r="D282" s="353"/>
      <c r="E282" s="136" t="s">
        <v>387</v>
      </c>
      <c r="F282" s="137">
        <v>969274067</v>
      </c>
      <c r="G282" s="352" t="s">
        <v>355</v>
      </c>
      <c r="H282" s="350">
        <f>F282/$M$11</f>
        <v>8.2534827814536721E-2</v>
      </c>
      <c r="I282" s="129">
        <v>0.13246372413345064</v>
      </c>
      <c r="J282" s="9"/>
    </row>
    <row r="283" spans="1:10">
      <c r="A283" s="136" t="s">
        <v>259</v>
      </c>
      <c r="B283" s="136">
        <v>3</v>
      </c>
      <c r="C283" s="136"/>
      <c r="D283" s="353"/>
      <c r="E283" s="136" t="s">
        <v>385</v>
      </c>
      <c r="F283" s="137">
        <v>964431415</v>
      </c>
      <c r="G283" s="352" t="s">
        <v>355</v>
      </c>
      <c r="H283" s="350">
        <f>F283/$M$11</f>
        <v>8.2122470296066438E-2</v>
      </c>
      <c r="I283" s="129">
        <v>0.13180191367091787</v>
      </c>
      <c r="J283" s="9"/>
    </row>
    <row r="284" spans="1:10">
      <c r="A284" s="136" t="s">
        <v>259</v>
      </c>
      <c r="B284" s="136">
        <v>4</v>
      </c>
      <c r="C284" s="136"/>
      <c r="D284" s="353"/>
      <c r="E284" s="136" t="s">
        <v>382</v>
      </c>
      <c r="F284" s="137">
        <v>510862140</v>
      </c>
      <c r="G284" s="352" t="s">
        <v>355</v>
      </c>
      <c r="H284" s="350">
        <f>F284/$M$11</f>
        <v>4.3500512597399094E-2</v>
      </c>
      <c r="I284" s="129">
        <v>6.981585898881193E-2</v>
      </c>
      <c r="J284" s="9"/>
    </row>
    <row r="285" spans="1:10">
      <c r="A285" s="136" t="s">
        <v>259</v>
      </c>
      <c r="B285" s="136">
        <v>5</v>
      </c>
      <c r="C285" s="136"/>
      <c r="D285" s="353"/>
      <c r="E285" s="136" t="s">
        <v>396</v>
      </c>
      <c r="F285" s="137">
        <v>361826076</v>
      </c>
      <c r="G285" s="352" t="s">
        <v>355</v>
      </c>
      <c r="H285" s="350">
        <f>F285/$M$11</f>
        <v>3.08099163056113E-2</v>
      </c>
      <c r="I285" s="129">
        <v>4.9448170695309594E-2</v>
      </c>
      <c r="J285" s="9"/>
    </row>
    <row r="286" spans="1:10">
      <c r="A286" s="136" t="s">
        <v>260</v>
      </c>
      <c r="B286" s="136">
        <v>1</v>
      </c>
      <c r="C286" s="136"/>
      <c r="D286" s="353"/>
      <c r="E286" s="136" t="s">
        <v>385</v>
      </c>
      <c r="F286" s="137">
        <v>879297667</v>
      </c>
      <c r="G286" s="352" t="s">
        <v>351</v>
      </c>
      <c r="H286" s="350">
        <f>F286/$L$12</f>
        <v>0.11921894361863533</v>
      </c>
      <c r="I286" s="129">
        <v>0.175432695791821</v>
      </c>
      <c r="J286" s="9"/>
    </row>
    <row r="287" spans="1:10" ht="30">
      <c r="A287" s="136" t="s">
        <v>260</v>
      </c>
      <c r="B287" s="136">
        <v>2</v>
      </c>
      <c r="C287" s="136"/>
      <c r="D287" s="353"/>
      <c r="E287" s="136" t="s">
        <v>386</v>
      </c>
      <c r="F287" s="137">
        <v>420188058</v>
      </c>
      <c r="G287" s="352" t="s">
        <v>351</v>
      </c>
      <c r="H287" s="350">
        <f>F287/$L$12</f>
        <v>5.6970896518853009E-2</v>
      </c>
      <c r="I287" s="129">
        <v>8.3833639643297306E-2</v>
      </c>
      <c r="J287" s="9"/>
    </row>
    <row r="288" spans="1:10">
      <c r="A288" s="136" t="s">
        <v>260</v>
      </c>
      <c r="B288" s="136">
        <v>3</v>
      </c>
      <c r="C288" s="136"/>
      <c r="D288" s="353"/>
      <c r="E288" s="136" t="s">
        <v>396</v>
      </c>
      <c r="F288" s="137">
        <v>404986003</v>
      </c>
      <c r="G288" s="352" t="s">
        <v>351</v>
      </c>
      <c r="H288" s="350">
        <f>F288/$L$12</f>
        <v>5.4909736793369066E-2</v>
      </c>
      <c r="I288" s="129">
        <v>8.0800608179305566E-2</v>
      </c>
      <c r="J288" s="9"/>
    </row>
    <row r="289" spans="1:10">
      <c r="A289" s="136" t="s">
        <v>260</v>
      </c>
      <c r="B289" s="136">
        <v>4</v>
      </c>
      <c r="C289" s="136"/>
      <c r="D289" s="353"/>
      <c r="E289" s="136" t="s">
        <v>388</v>
      </c>
      <c r="F289" s="137">
        <v>316496377</v>
      </c>
      <c r="G289" s="352" t="s">
        <v>351</v>
      </c>
      <c r="H289" s="350">
        <f>F289/$L$12</f>
        <v>4.2911934309801086E-2</v>
      </c>
      <c r="I289" s="129">
        <v>6.3145638512713681E-2</v>
      </c>
      <c r="J289" s="9"/>
    </row>
    <row r="290" spans="1:10">
      <c r="A290" s="136" t="s">
        <v>260</v>
      </c>
      <c r="B290" s="136">
        <v>5</v>
      </c>
      <c r="C290" s="136"/>
      <c r="D290" s="353"/>
      <c r="E290" s="136" t="s">
        <v>398</v>
      </c>
      <c r="F290" s="137">
        <v>313939365</v>
      </c>
      <c r="G290" s="352" t="s">
        <v>351</v>
      </c>
      <c r="H290" s="350">
        <f>F290/$L$12</f>
        <v>4.2565243671464421E-2</v>
      </c>
      <c r="I290" s="129">
        <v>6.2635477363460867E-2</v>
      </c>
      <c r="J290" s="9"/>
    </row>
    <row r="291" spans="1:10">
      <c r="A291" s="136" t="s">
        <v>260</v>
      </c>
      <c r="B291" s="136">
        <v>1</v>
      </c>
      <c r="C291" s="136"/>
      <c r="D291" s="353"/>
      <c r="E291" s="136" t="s">
        <v>385</v>
      </c>
      <c r="F291" s="137">
        <v>846281194</v>
      </c>
      <c r="G291" s="352" t="s">
        <v>355</v>
      </c>
      <c r="H291" s="350">
        <f>F291/$M$12</f>
        <v>0.10051291963409978</v>
      </c>
      <c r="I291" s="129">
        <v>0.10790574524637604</v>
      </c>
      <c r="J291" s="9"/>
    </row>
    <row r="292" spans="1:10">
      <c r="A292" s="136" t="s">
        <v>260</v>
      </c>
      <c r="B292" s="136">
        <v>2</v>
      </c>
      <c r="C292" s="136"/>
      <c r="D292" s="353"/>
      <c r="E292" s="136" t="s">
        <v>382</v>
      </c>
      <c r="F292" s="137">
        <v>559069172</v>
      </c>
      <c r="G292" s="352" t="s">
        <v>355</v>
      </c>
      <c r="H292" s="350">
        <f>F292/$M$12</f>
        <v>6.6400713088679023E-2</v>
      </c>
      <c r="I292" s="129">
        <v>7.1284551844755267E-2</v>
      </c>
      <c r="J292" s="9"/>
    </row>
    <row r="293" spans="1:10">
      <c r="A293" s="136" t="s">
        <v>260</v>
      </c>
      <c r="B293" s="136">
        <v>3</v>
      </c>
      <c r="C293" s="136"/>
      <c r="D293" s="353"/>
      <c r="E293" s="136" t="s">
        <v>387</v>
      </c>
      <c r="F293" s="137">
        <v>527182261</v>
      </c>
      <c r="G293" s="352" t="s">
        <v>355</v>
      </c>
      <c r="H293" s="350">
        <f>F293/$M$12</f>
        <v>6.2613500817573428E-2</v>
      </c>
      <c r="I293" s="129">
        <v>6.7218786329162505E-2</v>
      </c>
      <c r="J293" s="9"/>
    </row>
    <row r="294" spans="1:10" ht="45">
      <c r="A294" s="136" t="s">
        <v>260</v>
      </c>
      <c r="B294" s="136">
        <v>4</v>
      </c>
      <c r="C294" s="136"/>
      <c r="D294" s="353"/>
      <c r="E294" s="136" t="s">
        <v>395</v>
      </c>
      <c r="F294" s="137">
        <v>526112839</v>
      </c>
      <c r="G294" s="352" t="s">
        <v>355</v>
      </c>
      <c r="H294" s="350">
        <f>F294/$M$12</f>
        <v>6.2486485437457419E-2</v>
      </c>
      <c r="I294" s="129">
        <v>6.7082428841000172E-2</v>
      </c>
      <c r="J294" s="9"/>
    </row>
    <row r="295" spans="1:10">
      <c r="A295" s="136" t="s">
        <v>260</v>
      </c>
      <c r="B295" s="136">
        <v>5</v>
      </c>
      <c r="C295" s="136"/>
      <c r="D295" s="353"/>
      <c r="E295" s="136" t="s">
        <v>399</v>
      </c>
      <c r="F295" s="137">
        <v>467776945</v>
      </c>
      <c r="G295" s="352" t="s">
        <v>355</v>
      </c>
      <c r="H295" s="350">
        <f>F295/$M$12</f>
        <v>5.555792426065622E-2</v>
      </c>
      <c r="I295" s="129">
        <v>5.9644265070716032E-2</v>
      </c>
      <c r="J295" s="9"/>
    </row>
    <row r="296" spans="1:10">
      <c r="A296" s="136" t="s">
        <v>261</v>
      </c>
      <c r="B296" s="136">
        <v>1</v>
      </c>
      <c r="C296" s="136"/>
      <c r="D296" s="353"/>
      <c r="E296" s="136" t="s">
        <v>396</v>
      </c>
      <c r="F296" s="137">
        <v>4438195000</v>
      </c>
      <c r="G296" s="352" t="s">
        <v>351</v>
      </c>
      <c r="H296" s="350">
        <f>F296/$L$13</f>
        <v>0.19933608025025348</v>
      </c>
      <c r="I296" s="129">
        <v>0.25288130646810375</v>
      </c>
      <c r="J296" s="9"/>
    </row>
    <row r="297" spans="1:10">
      <c r="A297" s="136" t="s">
        <v>261</v>
      </c>
      <c r="B297" s="136">
        <v>2</v>
      </c>
      <c r="C297" s="136"/>
      <c r="D297" s="353"/>
      <c r="E297" s="136" t="s">
        <v>385</v>
      </c>
      <c r="F297" s="137">
        <v>2226995257</v>
      </c>
      <c r="G297" s="352" t="s">
        <v>351</v>
      </c>
      <c r="H297" s="350">
        <f>F297/$L$13</f>
        <v>0.10002275818576828</v>
      </c>
      <c r="I297" s="129">
        <v>0.12689065489200688</v>
      </c>
      <c r="J297" s="9"/>
    </row>
    <row r="298" spans="1:10" ht="30">
      <c r="A298" s="136" t="s">
        <v>261</v>
      </c>
      <c r="B298" s="136">
        <v>3</v>
      </c>
      <c r="C298" s="136"/>
      <c r="D298" s="353"/>
      <c r="E298" s="136" t="s">
        <v>386</v>
      </c>
      <c r="F298" s="137">
        <v>1191708217</v>
      </c>
      <c r="G298" s="352" t="s">
        <v>351</v>
      </c>
      <c r="H298" s="350">
        <f>F298/$L$13</f>
        <v>5.3524111666747066E-2</v>
      </c>
      <c r="I298" s="129">
        <v>6.7901642637093335E-2</v>
      </c>
      <c r="J298" s="9"/>
    </row>
    <row r="299" spans="1:10">
      <c r="A299" s="136" t="s">
        <v>261</v>
      </c>
      <c r="B299" s="136">
        <v>4</v>
      </c>
      <c r="C299" s="136"/>
      <c r="D299" s="353"/>
      <c r="E299" s="136" t="s">
        <v>384</v>
      </c>
      <c r="F299" s="137">
        <v>1071272320</v>
      </c>
      <c r="G299" s="352" t="s">
        <v>351</v>
      </c>
      <c r="H299" s="350">
        <f>F299/$L$13</f>
        <v>4.8114881195935565E-2</v>
      </c>
      <c r="I299" s="129">
        <v>6.103939639081124E-2</v>
      </c>
      <c r="J299" s="9"/>
    </row>
    <row r="300" spans="1:10">
      <c r="A300" s="136" t="s">
        <v>261</v>
      </c>
      <c r="B300" s="136">
        <v>5</v>
      </c>
      <c r="C300" s="136"/>
      <c r="D300" s="353"/>
      <c r="E300" s="136" t="s">
        <v>382</v>
      </c>
      <c r="F300" s="137">
        <v>1059086321</v>
      </c>
      <c r="G300" s="352" t="s">
        <v>351</v>
      </c>
      <c r="H300" s="350">
        <f>F300/$L$13</f>
        <v>4.7567562009961643E-2</v>
      </c>
      <c r="I300" s="129">
        <v>6.034505751031162E-2</v>
      </c>
      <c r="J300" s="9"/>
    </row>
    <row r="301" spans="1:10">
      <c r="A301" s="136" t="s">
        <v>261</v>
      </c>
      <c r="B301" s="136">
        <v>1</v>
      </c>
      <c r="C301" s="136"/>
      <c r="D301" s="353"/>
      <c r="E301" s="136" t="s">
        <v>396</v>
      </c>
      <c r="F301" s="137">
        <v>3164182230</v>
      </c>
      <c r="G301" s="352" t="s">
        <v>355</v>
      </c>
      <c r="H301" s="350">
        <f>F301/$M$13</f>
        <v>0.11230422074475269</v>
      </c>
      <c r="I301" s="129">
        <v>0.14412029180403499</v>
      </c>
      <c r="J301" s="9"/>
    </row>
    <row r="302" spans="1:10">
      <c r="A302" s="136" t="s">
        <v>261</v>
      </c>
      <c r="B302" s="136">
        <v>2</v>
      </c>
      <c r="C302" s="136"/>
      <c r="D302" s="353"/>
      <c r="E302" s="136" t="s">
        <v>385</v>
      </c>
      <c r="F302" s="137">
        <v>2966674704</v>
      </c>
      <c r="G302" s="352" t="s">
        <v>355</v>
      </c>
      <c r="H302" s="350">
        <f>F302/$M$13</f>
        <v>0.10529421715255946</v>
      </c>
      <c r="I302" s="129">
        <v>0.13512433638442156</v>
      </c>
      <c r="J302" s="9"/>
    </row>
    <row r="303" spans="1:10">
      <c r="A303" s="136" t="s">
        <v>261</v>
      </c>
      <c r="B303" s="136">
        <v>3</v>
      </c>
      <c r="C303" s="136"/>
      <c r="D303" s="353"/>
      <c r="E303" s="136" t="s">
        <v>387</v>
      </c>
      <c r="F303" s="137">
        <v>2647094404</v>
      </c>
      <c r="G303" s="352" t="s">
        <v>355</v>
      </c>
      <c r="H303" s="350">
        <f>F303/$M$13</f>
        <v>9.3951565576871204E-2</v>
      </c>
      <c r="I303" s="129">
        <v>0.12056828279997897</v>
      </c>
      <c r="J303" s="9"/>
    </row>
    <row r="304" spans="1:10">
      <c r="A304" s="136" t="s">
        <v>261</v>
      </c>
      <c r="B304" s="136">
        <v>4</v>
      </c>
      <c r="C304" s="136"/>
      <c r="D304" s="353"/>
      <c r="E304" s="136" t="s">
        <v>388</v>
      </c>
      <c r="F304" s="137">
        <v>1203915963</v>
      </c>
      <c r="G304" s="352" t="s">
        <v>355</v>
      </c>
      <c r="H304" s="350">
        <f>F304/$M$13</f>
        <v>4.2729790586961074E-2</v>
      </c>
      <c r="I304" s="129">
        <v>5.4835248820386616E-2</v>
      </c>
      <c r="J304" s="9"/>
    </row>
    <row r="305" spans="1:10">
      <c r="A305" s="136" t="s">
        <v>261</v>
      </c>
      <c r="B305" s="136">
        <v>5</v>
      </c>
      <c r="C305" s="136"/>
      <c r="D305" s="353"/>
      <c r="E305" s="136" t="s">
        <v>398</v>
      </c>
      <c r="F305" s="137">
        <v>1067851580</v>
      </c>
      <c r="G305" s="352" t="s">
        <v>355</v>
      </c>
      <c r="H305" s="350">
        <f>F305/$M$13</f>
        <v>3.7900547707378072E-2</v>
      </c>
      <c r="I305" s="129">
        <v>4.8637869163749084E-2</v>
      </c>
      <c r="J305" s="9"/>
    </row>
    <row r="306" spans="1:10">
      <c r="A306" s="136" t="s">
        <v>263</v>
      </c>
      <c r="B306" s="136">
        <v>1</v>
      </c>
      <c r="C306" s="136"/>
      <c r="D306" s="353"/>
      <c r="E306" s="136" t="s">
        <v>385</v>
      </c>
      <c r="F306" s="137">
        <v>4354230452</v>
      </c>
      <c r="G306" s="352" t="s">
        <v>351</v>
      </c>
      <c r="H306" s="350">
        <f>F306/$L$14</f>
        <v>0.43888778659083205</v>
      </c>
      <c r="I306" s="129">
        <v>0.32142476246252222</v>
      </c>
      <c r="J306" s="9"/>
    </row>
    <row r="307" spans="1:10">
      <c r="A307" s="136" t="s">
        <v>263</v>
      </c>
      <c r="B307" s="136">
        <v>2</v>
      </c>
      <c r="C307" s="136"/>
      <c r="D307" s="353"/>
      <c r="E307" s="136" t="s">
        <v>384</v>
      </c>
      <c r="F307" s="137">
        <v>1045682711</v>
      </c>
      <c r="G307" s="352" t="s">
        <v>351</v>
      </c>
      <c r="H307" s="350">
        <f>F307/$L$14</f>
        <v>0.10540034009828074</v>
      </c>
      <c r="I307" s="129">
        <v>7.7191209950763826E-2</v>
      </c>
      <c r="J307" s="9"/>
    </row>
    <row r="308" spans="1:10" ht="30">
      <c r="A308" s="136" t="s">
        <v>263</v>
      </c>
      <c r="B308" s="136">
        <v>3</v>
      </c>
      <c r="C308" s="136"/>
      <c r="D308" s="353"/>
      <c r="E308" s="136" t="s">
        <v>386</v>
      </c>
      <c r="F308" s="137">
        <v>1028059001</v>
      </c>
      <c r="G308" s="352" t="s">
        <v>351</v>
      </c>
      <c r="H308" s="350">
        <f>F308/$L$14</f>
        <v>0.10362394558754329</v>
      </c>
      <c r="I308" s="129">
        <v>7.5890246011692461E-2</v>
      </c>
      <c r="J308" s="9"/>
    </row>
    <row r="309" spans="1:10">
      <c r="A309" s="136" t="s">
        <v>263</v>
      </c>
      <c r="B309" s="136">
        <v>4</v>
      </c>
      <c r="C309" s="136"/>
      <c r="D309" s="353"/>
      <c r="E309" s="136" t="s">
        <v>382</v>
      </c>
      <c r="F309" s="137">
        <v>872774317</v>
      </c>
      <c r="G309" s="352" t="s">
        <v>351</v>
      </c>
      <c r="H309" s="350">
        <f>F309/$L$14</f>
        <v>8.7971914303596715E-2</v>
      </c>
      <c r="I309" s="129">
        <v>6.4427292174271691E-2</v>
      </c>
      <c r="J309" s="9"/>
    </row>
    <row r="310" spans="1:10">
      <c r="A310" s="136" t="s">
        <v>263</v>
      </c>
      <c r="B310" s="136">
        <v>5</v>
      </c>
      <c r="C310" s="136"/>
      <c r="D310" s="353"/>
      <c r="E310" s="136" t="s">
        <v>388</v>
      </c>
      <c r="F310" s="137">
        <v>623600606</v>
      </c>
      <c r="G310" s="352" t="s">
        <v>351</v>
      </c>
      <c r="H310" s="350">
        <f>F310/$L$14</f>
        <v>6.285627109110152E-2</v>
      </c>
      <c r="I310" s="129">
        <v>4.6033548032113875E-2</v>
      </c>
      <c r="J310" s="9"/>
    </row>
    <row r="311" spans="1:10">
      <c r="A311" s="136" t="s">
        <v>263</v>
      </c>
      <c r="B311" s="136">
        <v>1</v>
      </c>
      <c r="C311" s="136"/>
      <c r="D311" s="353"/>
      <c r="E311" s="136" t="s">
        <v>385</v>
      </c>
      <c r="F311" s="137">
        <v>5262599960</v>
      </c>
      <c r="G311" s="352" t="s">
        <v>355</v>
      </c>
      <c r="H311" s="350">
        <f>F311/$M$14</f>
        <v>0.49664237134716782</v>
      </c>
      <c r="I311" s="129">
        <v>0.39449322860568758</v>
      </c>
      <c r="J311" s="9"/>
    </row>
    <row r="312" spans="1:10">
      <c r="A312" s="136" t="s">
        <v>263</v>
      </c>
      <c r="B312" s="136">
        <v>2</v>
      </c>
      <c r="C312" s="136"/>
      <c r="D312" s="353"/>
      <c r="E312" s="136" t="s">
        <v>382</v>
      </c>
      <c r="F312" s="137">
        <v>1575171090</v>
      </c>
      <c r="G312" s="352" t="s">
        <v>355</v>
      </c>
      <c r="H312" s="350">
        <f>F312/$M$14</f>
        <v>0.14865213228464796</v>
      </c>
      <c r="I312" s="129">
        <v>0.11807743959706944</v>
      </c>
      <c r="J312" s="9"/>
    </row>
    <row r="313" spans="1:10">
      <c r="A313" s="136" t="s">
        <v>263</v>
      </c>
      <c r="B313" s="136">
        <v>3</v>
      </c>
      <c r="C313" s="136"/>
      <c r="D313" s="353"/>
      <c r="E313" s="136" t="s">
        <v>387</v>
      </c>
      <c r="F313" s="137">
        <v>895082780</v>
      </c>
      <c r="G313" s="352" t="s">
        <v>355</v>
      </c>
      <c r="H313" s="350">
        <f>F313/$M$14</f>
        <v>8.4470801085024014E-2</v>
      </c>
      <c r="I313" s="129">
        <v>6.7096890973174853E-2</v>
      </c>
      <c r="J313" s="9"/>
    </row>
    <row r="314" spans="1:10">
      <c r="A314" s="136" t="s">
        <v>263</v>
      </c>
      <c r="B314" s="136">
        <v>4</v>
      </c>
      <c r="C314" s="136"/>
      <c r="D314" s="353"/>
      <c r="E314" s="136" t="s">
        <v>398</v>
      </c>
      <c r="F314" s="137">
        <v>784485732</v>
      </c>
      <c r="G314" s="352" t="s">
        <v>355</v>
      </c>
      <c r="H314" s="350">
        <f>F314/$M$14</f>
        <v>7.4033530420294147E-2</v>
      </c>
      <c r="I314" s="129">
        <v>5.8806352670548831E-2</v>
      </c>
      <c r="J314" s="9"/>
    </row>
    <row r="315" spans="1:10">
      <c r="A315" s="136" t="s">
        <v>263</v>
      </c>
      <c r="B315" s="136">
        <v>5</v>
      </c>
      <c r="C315" s="136"/>
      <c r="D315" s="353"/>
      <c r="E315" s="136" t="s">
        <v>384</v>
      </c>
      <c r="F315" s="137">
        <v>627032323</v>
      </c>
      <c r="G315" s="352" t="s">
        <v>355</v>
      </c>
      <c r="H315" s="350">
        <f>F315/$M$14</f>
        <v>5.9174328691714441E-2</v>
      </c>
      <c r="I315" s="129">
        <v>4.7003383768580105E-2</v>
      </c>
      <c r="J315" s="9"/>
    </row>
    <row r="316" spans="1:10">
      <c r="A316" s="136" t="s">
        <v>264</v>
      </c>
      <c r="B316" s="136">
        <v>1</v>
      </c>
      <c r="C316" s="136"/>
      <c r="D316" s="353"/>
      <c r="E316" s="136" t="s">
        <v>385</v>
      </c>
      <c r="F316" s="137">
        <v>1442675691</v>
      </c>
      <c r="G316" s="352" t="s">
        <v>351</v>
      </c>
      <c r="H316" s="350">
        <f>F316/$L$15</f>
        <v>7.4357467207801467E-2</v>
      </c>
      <c r="I316" s="129">
        <v>0.14013560093667654</v>
      </c>
      <c r="J316" s="9"/>
    </row>
    <row r="317" spans="1:10">
      <c r="A317" s="136" t="s">
        <v>264</v>
      </c>
      <c r="B317" s="136">
        <v>2</v>
      </c>
      <c r="C317" s="136"/>
      <c r="D317" s="353"/>
      <c r="E317" s="136" t="s">
        <v>384</v>
      </c>
      <c r="F317" s="137">
        <v>1036870035</v>
      </c>
      <c r="G317" s="352" t="s">
        <v>351</v>
      </c>
      <c r="H317" s="350">
        <f>F317/$L$15</f>
        <v>5.3441691786476807E-2</v>
      </c>
      <c r="I317" s="129">
        <v>0.10071730351763294</v>
      </c>
      <c r="J317" s="9"/>
    </row>
    <row r="318" spans="1:10">
      <c r="A318" s="136" t="s">
        <v>264</v>
      </c>
      <c r="B318" s="136">
        <v>3</v>
      </c>
      <c r="C318" s="136"/>
      <c r="D318" s="353"/>
      <c r="E318" s="136" t="s">
        <v>388</v>
      </c>
      <c r="F318" s="137">
        <v>984870884</v>
      </c>
      <c r="G318" s="352" t="s">
        <v>351</v>
      </c>
      <c r="H318" s="350">
        <f>F318/$L$15</f>
        <v>5.0761584823119085E-2</v>
      </c>
      <c r="I318" s="129">
        <v>9.5666319211845555E-2</v>
      </c>
      <c r="J318" s="9"/>
    </row>
    <row r="319" spans="1:10" ht="30">
      <c r="A319" s="136" t="s">
        <v>264</v>
      </c>
      <c r="B319" s="136">
        <v>4</v>
      </c>
      <c r="C319" s="136"/>
      <c r="D319" s="353"/>
      <c r="E319" s="136" t="s">
        <v>386</v>
      </c>
      <c r="F319" s="137">
        <v>799072368</v>
      </c>
      <c r="G319" s="352" t="s">
        <v>351</v>
      </c>
      <c r="H319" s="350">
        <f>F319/$L$15</f>
        <v>4.1185276615449858E-2</v>
      </c>
      <c r="I319" s="129">
        <v>7.7618613233827016E-2</v>
      </c>
      <c r="J319" s="9"/>
    </row>
    <row r="320" spans="1:10">
      <c r="A320" s="136" t="s">
        <v>264</v>
      </c>
      <c r="B320" s="136">
        <v>5</v>
      </c>
      <c r="C320" s="136"/>
      <c r="D320" s="353"/>
      <c r="E320" s="136" t="s">
        <v>396</v>
      </c>
      <c r="F320" s="137">
        <v>473660876</v>
      </c>
      <c r="G320" s="352" t="s">
        <v>351</v>
      </c>
      <c r="H320" s="350">
        <f>F320/$L$15</f>
        <v>2.441312574579765E-2</v>
      </c>
      <c r="I320" s="129">
        <v>4.6009475249730696E-2</v>
      </c>
      <c r="J320" s="9"/>
    </row>
    <row r="321" spans="1:10">
      <c r="A321" s="136" t="s">
        <v>264</v>
      </c>
      <c r="B321" s="136">
        <v>1</v>
      </c>
      <c r="C321" s="136"/>
      <c r="D321" s="353"/>
      <c r="E321" s="136" t="s">
        <v>385</v>
      </c>
      <c r="F321" s="137">
        <v>2691772230</v>
      </c>
      <c r="G321" s="352" t="s">
        <v>355</v>
      </c>
      <c r="H321" s="350">
        <f>F321/$M$15</f>
        <v>0.1419719546816067</v>
      </c>
      <c r="I321" s="129">
        <v>0.2054460649395784</v>
      </c>
      <c r="J321" s="9"/>
    </row>
    <row r="322" spans="1:10">
      <c r="A322" s="136" t="s">
        <v>264</v>
      </c>
      <c r="B322" s="136">
        <v>2</v>
      </c>
      <c r="C322" s="136"/>
      <c r="D322" s="353"/>
      <c r="E322" s="136" t="s">
        <v>384</v>
      </c>
      <c r="F322" s="137">
        <v>1395417532</v>
      </c>
      <c r="G322" s="352" t="s">
        <v>355</v>
      </c>
      <c r="H322" s="350">
        <f>F322/$M$15</f>
        <v>7.3598409407404974E-2</v>
      </c>
      <c r="I322" s="129">
        <v>0.10650345437923557</v>
      </c>
      <c r="J322" s="9"/>
    </row>
    <row r="323" spans="1:10">
      <c r="A323" s="136" t="s">
        <v>264</v>
      </c>
      <c r="B323" s="136">
        <v>3</v>
      </c>
      <c r="C323" s="136"/>
      <c r="D323" s="353"/>
      <c r="E323" s="136" t="s">
        <v>387</v>
      </c>
      <c r="F323" s="137">
        <v>1165513220</v>
      </c>
      <c r="G323" s="352" t="s">
        <v>355</v>
      </c>
      <c r="H323" s="350">
        <f>F323/$M$15</f>
        <v>6.1472582340539816E-2</v>
      </c>
      <c r="I323" s="129">
        <v>8.8956302474395135E-2</v>
      </c>
      <c r="J323" s="9"/>
    </row>
    <row r="324" spans="1:10">
      <c r="A324" s="136" t="s">
        <v>264</v>
      </c>
      <c r="B324" s="136">
        <v>4</v>
      </c>
      <c r="C324" s="136"/>
      <c r="D324" s="353"/>
      <c r="E324" s="136" t="s">
        <v>383</v>
      </c>
      <c r="F324" s="137">
        <v>862863842</v>
      </c>
      <c r="G324" s="352" t="s">
        <v>355</v>
      </c>
      <c r="H324" s="350">
        <f>F324/$M$15</f>
        <v>4.5509967339554966E-2</v>
      </c>
      <c r="I324" s="129">
        <v>6.5856976657176561E-2</v>
      </c>
      <c r="J324" s="9"/>
    </row>
    <row r="325" spans="1:10">
      <c r="A325" s="136" t="s">
        <v>264</v>
      </c>
      <c r="B325" s="136">
        <v>5</v>
      </c>
      <c r="C325" s="136"/>
      <c r="D325" s="353"/>
      <c r="E325" s="136" t="s">
        <v>388</v>
      </c>
      <c r="F325" s="137">
        <v>740546706</v>
      </c>
      <c r="G325" s="352" t="s">
        <v>355</v>
      </c>
      <c r="H325" s="350">
        <f>F325/$M$15</f>
        <v>3.9058603180494623E-2</v>
      </c>
      <c r="I325" s="129">
        <v>5.652127804723911E-2</v>
      </c>
      <c r="J325" s="9"/>
    </row>
    <row r="326" spans="1:10">
      <c r="A326" s="136" t="s">
        <v>265</v>
      </c>
      <c r="B326" s="136">
        <v>1</v>
      </c>
      <c r="C326" s="136"/>
      <c r="D326" s="353"/>
      <c r="E326" s="136" t="s">
        <v>398</v>
      </c>
      <c r="F326" s="137">
        <v>1665596726</v>
      </c>
      <c r="G326" s="352" t="s">
        <v>351</v>
      </c>
      <c r="H326" s="350">
        <f>F326/$L$16</f>
        <v>0.1110037193556062</v>
      </c>
      <c r="I326" s="129">
        <v>0.10677527606004568</v>
      </c>
      <c r="J326" s="9"/>
    </row>
    <row r="327" spans="1:10">
      <c r="A327" s="136" t="s">
        <v>265</v>
      </c>
      <c r="B327" s="136">
        <v>2</v>
      </c>
      <c r="C327" s="136"/>
      <c r="D327" s="353"/>
      <c r="E327" s="136" t="s">
        <v>396</v>
      </c>
      <c r="F327" s="137">
        <v>1303413731</v>
      </c>
      <c r="G327" s="352" t="s">
        <v>351</v>
      </c>
      <c r="H327" s="350">
        <f>F327/$L$16</f>
        <v>8.6866028097708672E-2</v>
      </c>
      <c r="I327" s="129">
        <v>8.3557057224894621E-2</v>
      </c>
      <c r="J327" s="9"/>
    </row>
    <row r="328" spans="1:10">
      <c r="A328" s="136" t="s">
        <v>265</v>
      </c>
      <c r="B328" s="136">
        <v>3</v>
      </c>
      <c r="C328" s="136"/>
      <c r="D328" s="353"/>
      <c r="E328" s="136" t="s">
        <v>385</v>
      </c>
      <c r="F328" s="137">
        <v>1278520109</v>
      </c>
      <c r="G328" s="352" t="s">
        <v>351</v>
      </c>
      <c r="H328" s="350">
        <f>F328/$L$16</f>
        <v>8.5206992277634341E-2</v>
      </c>
      <c r="I328" s="129">
        <v>8.1961218736686381E-2</v>
      </c>
      <c r="J328" s="9"/>
    </row>
    <row r="329" spans="1:10">
      <c r="A329" s="136" t="s">
        <v>265</v>
      </c>
      <c r="B329" s="136">
        <v>4</v>
      </c>
      <c r="C329" s="136"/>
      <c r="D329" s="353"/>
      <c r="E329" s="136" t="s">
        <v>382</v>
      </c>
      <c r="F329" s="137">
        <v>1222634912</v>
      </c>
      <c r="G329" s="352" t="s">
        <v>351</v>
      </c>
      <c r="H329" s="350">
        <f>F329/$L$16</f>
        <v>8.1482522466254106E-2</v>
      </c>
      <c r="I329" s="129">
        <v>7.8378624436278854E-2</v>
      </c>
      <c r="J329" s="9"/>
    </row>
    <row r="330" spans="1:10" ht="30">
      <c r="A330" s="136" t="s">
        <v>265</v>
      </c>
      <c r="B330" s="136">
        <v>5</v>
      </c>
      <c r="C330" s="136"/>
      <c r="D330" s="353"/>
      <c r="E330" s="136" t="s">
        <v>386</v>
      </c>
      <c r="F330" s="137">
        <v>1140110895</v>
      </c>
      <c r="G330" s="352" t="s">
        <v>351</v>
      </c>
      <c r="H330" s="350">
        <f>F330/$L$16</f>
        <v>7.5982708087317052E-2</v>
      </c>
      <c r="I330" s="129">
        <v>7.3088313426890567E-2</v>
      </c>
      <c r="J330" s="9"/>
    </row>
    <row r="331" spans="1:10" ht="30">
      <c r="A331" s="136" t="s">
        <v>265</v>
      </c>
      <c r="B331" s="136">
        <v>1</v>
      </c>
      <c r="C331" s="136"/>
      <c r="D331" s="353"/>
      <c r="E331" s="136" t="s">
        <v>400</v>
      </c>
      <c r="F331" s="137">
        <v>2920679318</v>
      </c>
      <c r="G331" s="352" t="s">
        <v>355</v>
      </c>
      <c r="H331" s="350">
        <f>F331/$M$16</f>
        <v>0.16848523355894202</v>
      </c>
      <c r="I331" s="129">
        <v>0.15215266290810861</v>
      </c>
      <c r="J331" s="9"/>
    </row>
    <row r="332" spans="1:10" ht="45">
      <c r="A332" s="136" t="s">
        <v>265</v>
      </c>
      <c r="B332" s="136">
        <v>2</v>
      </c>
      <c r="C332" s="136"/>
      <c r="D332" s="353"/>
      <c r="E332" s="136" t="s">
        <v>395</v>
      </c>
      <c r="F332" s="137">
        <v>1397684602</v>
      </c>
      <c r="G332" s="352" t="s">
        <v>355</v>
      </c>
      <c r="H332" s="350">
        <f>F332/$M$16</f>
        <v>8.0628234383144606E-2</v>
      </c>
      <c r="I332" s="129">
        <v>7.2812318966117992E-2</v>
      </c>
      <c r="J332" s="9"/>
    </row>
    <row r="333" spans="1:10">
      <c r="A333" s="136" t="s">
        <v>265</v>
      </c>
      <c r="B333" s="136">
        <v>3</v>
      </c>
      <c r="C333" s="136"/>
      <c r="D333" s="353"/>
      <c r="E333" s="136" t="s">
        <v>398</v>
      </c>
      <c r="F333" s="137">
        <v>1295813635</v>
      </c>
      <c r="G333" s="352" t="s">
        <v>355</v>
      </c>
      <c r="H333" s="350">
        <f>F333/$M$16</f>
        <v>7.4751603709557496E-2</v>
      </c>
      <c r="I333" s="129">
        <v>6.7505355340721412E-2</v>
      </c>
      <c r="J333" s="9"/>
    </row>
    <row r="334" spans="1:10">
      <c r="A334" s="136" t="s">
        <v>265</v>
      </c>
      <c r="B334" s="136">
        <v>4</v>
      </c>
      <c r="C334" s="136"/>
      <c r="D334" s="353"/>
      <c r="E334" s="136" t="s">
        <v>396</v>
      </c>
      <c r="F334" s="137">
        <v>1159719338</v>
      </c>
      <c r="G334" s="352" t="s">
        <v>355</v>
      </c>
      <c r="H334" s="350">
        <f>F334/$M$16</f>
        <v>6.6900731730984112E-2</v>
      </c>
      <c r="I334" s="129">
        <v>6.0415528817302659E-2</v>
      </c>
      <c r="J334" s="9"/>
    </row>
    <row r="335" spans="1:10">
      <c r="A335" s="136" t="s">
        <v>265</v>
      </c>
      <c r="B335" s="136">
        <v>5</v>
      </c>
      <c r="C335" s="136"/>
      <c r="D335" s="353"/>
      <c r="E335" s="136" t="s">
        <v>382</v>
      </c>
      <c r="F335" s="137">
        <v>1057210987</v>
      </c>
      <c r="G335" s="352" t="s">
        <v>355</v>
      </c>
      <c r="H335" s="350">
        <f>F335/$M$16</f>
        <v>6.0987332285336031E-2</v>
      </c>
      <c r="I335" s="129">
        <v>5.5075360699958845E-2</v>
      </c>
      <c r="J335" s="9"/>
    </row>
    <row r="336" spans="1:10">
      <c r="A336" s="136" t="s">
        <v>266</v>
      </c>
      <c r="B336" s="136">
        <v>1</v>
      </c>
      <c r="C336" s="136"/>
      <c r="D336" s="353"/>
      <c r="E336" s="136" t="s">
        <v>382</v>
      </c>
      <c r="F336" s="137">
        <v>73232207</v>
      </c>
      <c r="G336" s="352" t="s">
        <v>351</v>
      </c>
      <c r="H336" s="350">
        <f>F336/$L$17</f>
        <v>3.7916424042520143E-3</v>
      </c>
      <c r="I336" s="129">
        <v>8.7916735969690338E-2</v>
      </c>
      <c r="J336" s="9"/>
    </row>
    <row r="337" spans="1:10" ht="45">
      <c r="A337" s="136" t="s">
        <v>266</v>
      </c>
      <c r="B337" s="136">
        <v>2</v>
      </c>
      <c r="C337" s="136"/>
      <c r="D337" s="353"/>
      <c r="E337" s="136" t="s">
        <v>395</v>
      </c>
      <c r="F337" s="137">
        <v>72970350</v>
      </c>
      <c r="G337" s="352" t="s">
        <v>351</v>
      </c>
      <c r="H337" s="350">
        <f>F337/$L$17</f>
        <v>3.7780845975748209E-3</v>
      </c>
      <c r="I337" s="129">
        <v>8.7602371379656679E-2</v>
      </c>
      <c r="J337" s="9"/>
    </row>
    <row r="338" spans="1:10">
      <c r="A338" s="136" t="s">
        <v>266</v>
      </c>
      <c r="B338" s="136">
        <v>3</v>
      </c>
      <c r="C338" s="136"/>
      <c r="D338" s="353"/>
      <c r="E338" s="136" t="s">
        <v>384</v>
      </c>
      <c r="F338" s="137">
        <v>72395969</v>
      </c>
      <c r="G338" s="352" t="s">
        <v>351</v>
      </c>
      <c r="H338" s="350">
        <f>F338/$L$17</f>
        <v>3.7483456692396873E-3</v>
      </c>
      <c r="I338" s="129">
        <v>8.691281544802941E-2</v>
      </c>
      <c r="J338" s="9"/>
    </row>
    <row r="339" spans="1:10">
      <c r="A339" s="136" t="s">
        <v>266</v>
      </c>
      <c r="B339" s="136">
        <v>4</v>
      </c>
      <c r="C339" s="136"/>
      <c r="D339" s="353"/>
      <c r="E339" s="136" t="s">
        <v>392</v>
      </c>
      <c r="F339" s="137">
        <v>55144174</v>
      </c>
      <c r="G339" s="352" t="s">
        <v>351</v>
      </c>
      <c r="H339" s="350">
        <f>F339/$L$17</f>
        <v>2.8551234088281872E-3</v>
      </c>
      <c r="I339" s="129">
        <v>6.620168890751392E-2</v>
      </c>
      <c r="J339" s="9"/>
    </row>
    <row r="340" spans="1:10">
      <c r="A340" s="136" t="s">
        <v>266</v>
      </c>
      <c r="B340" s="136">
        <v>5</v>
      </c>
      <c r="C340" s="136"/>
      <c r="D340" s="353"/>
      <c r="E340" s="136" t="s">
        <v>401</v>
      </c>
      <c r="F340" s="137">
        <v>48517020</v>
      </c>
      <c r="G340" s="352" t="s">
        <v>351</v>
      </c>
      <c r="H340" s="350">
        <f>F340/$L$17</f>
        <v>2.5119984484414499E-3</v>
      </c>
      <c r="I340" s="129">
        <v>5.8245657370071965E-2</v>
      </c>
      <c r="J340" s="9"/>
    </row>
    <row r="341" spans="1:10">
      <c r="A341" s="136" t="s">
        <v>266</v>
      </c>
      <c r="B341" s="136">
        <v>1</v>
      </c>
      <c r="C341" s="136"/>
      <c r="D341" s="353"/>
      <c r="E341" s="136" t="s">
        <v>384</v>
      </c>
      <c r="F341" s="137">
        <v>159529386</v>
      </c>
      <c r="G341" s="352" t="s">
        <v>355</v>
      </c>
      <c r="H341" s="350">
        <f>F341/$M$17</f>
        <v>9.2144636458418912E-3</v>
      </c>
      <c r="I341" s="129">
        <v>0.15322682249030367</v>
      </c>
      <c r="J341" s="9"/>
    </row>
    <row r="342" spans="1:10">
      <c r="A342" s="136" t="s">
        <v>266</v>
      </c>
      <c r="B342" s="136">
        <v>2</v>
      </c>
      <c r="C342" s="136"/>
      <c r="D342" s="353"/>
      <c r="E342" s="136" t="s">
        <v>385</v>
      </c>
      <c r="F342" s="137">
        <v>113830174</v>
      </c>
      <c r="G342" s="352" t="s">
        <v>355</v>
      </c>
      <c r="H342" s="350">
        <f>F342/$M$17</f>
        <v>6.574863894498139E-3</v>
      </c>
      <c r="I342" s="129">
        <v>0.10933305958777012</v>
      </c>
      <c r="J342" s="9"/>
    </row>
    <row r="343" spans="1:10">
      <c r="A343" s="136" t="s">
        <v>266</v>
      </c>
      <c r="B343" s="136">
        <v>3</v>
      </c>
      <c r="C343" s="136"/>
      <c r="D343" s="353"/>
      <c r="E343" s="136" t="s">
        <v>388</v>
      </c>
      <c r="F343" s="137">
        <v>86788102</v>
      </c>
      <c r="G343" s="352" t="s">
        <v>355</v>
      </c>
      <c r="H343" s="350">
        <f>F343/$M$17</f>
        <v>5.0129059656170046E-3</v>
      </c>
      <c r="I343" s="129">
        <v>8.335934483835078E-2</v>
      </c>
      <c r="J343" s="9"/>
    </row>
    <row r="344" spans="1:10">
      <c r="A344" s="136" t="s">
        <v>266</v>
      </c>
      <c r="B344" s="136">
        <v>4</v>
      </c>
      <c r="C344" s="136"/>
      <c r="D344" s="353"/>
      <c r="E344" s="136" t="s">
        <v>387</v>
      </c>
      <c r="F344" s="137">
        <v>86131066</v>
      </c>
      <c r="G344" s="352" t="s">
        <v>355</v>
      </c>
      <c r="H344" s="350">
        <f>F344/$M$17</f>
        <v>4.9749553755231565E-3</v>
      </c>
      <c r="I344" s="129">
        <v>8.2728266508106732E-2</v>
      </c>
      <c r="J344" s="9"/>
    </row>
    <row r="345" spans="1:10">
      <c r="A345" s="136" t="s">
        <v>266</v>
      </c>
      <c r="B345" s="136">
        <v>5</v>
      </c>
      <c r="C345" s="136"/>
      <c r="D345" s="353"/>
      <c r="E345" s="136" t="s">
        <v>402</v>
      </c>
      <c r="F345" s="137">
        <v>81270173</v>
      </c>
      <c r="G345" s="352" t="s">
        <v>355</v>
      </c>
      <c r="H345" s="350">
        <f>F345/$M$17</f>
        <v>4.6941887847533068E-3</v>
      </c>
      <c r="I345" s="129">
        <v>7.8059413906521713E-2</v>
      </c>
      <c r="J345" s="9"/>
    </row>
    <row r="346" spans="1:10">
      <c r="A346" s="136" t="s">
        <v>267</v>
      </c>
      <c r="B346" s="136">
        <v>1</v>
      </c>
      <c r="C346" s="136"/>
      <c r="D346" s="353"/>
      <c r="E346" s="136" t="s">
        <v>382</v>
      </c>
      <c r="F346" s="137">
        <v>137033371</v>
      </c>
      <c r="G346" s="352" t="s">
        <v>351</v>
      </c>
      <c r="H346" s="350">
        <f>F346/$L$18</f>
        <v>0.12271666139570243</v>
      </c>
      <c r="I346" s="129">
        <v>0.12592942981204758</v>
      </c>
      <c r="J346" s="9"/>
    </row>
    <row r="347" spans="1:10">
      <c r="A347" s="136" t="s">
        <v>267</v>
      </c>
      <c r="B347" s="136">
        <v>2</v>
      </c>
      <c r="C347" s="136"/>
      <c r="D347" s="353"/>
      <c r="E347" s="136" t="s">
        <v>385</v>
      </c>
      <c r="F347" s="137">
        <v>114027483</v>
      </c>
      <c r="G347" s="352" t="s">
        <v>351</v>
      </c>
      <c r="H347" s="350">
        <f>F347/$L$18</f>
        <v>0.10211433841991098</v>
      </c>
      <c r="I347" s="129">
        <v>0.10478773026092271</v>
      </c>
      <c r="J347" s="9"/>
    </row>
    <row r="348" spans="1:10">
      <c r="A348" s="136" t="s">
        <v>267</v>
      </c>
      <c r="B348" s="136">
        <v>3</v>
      </c>
      <c r="C348" s="136"/>
      <c r="D348" s="353"/>
      <c r="E348" s="136" t="s">
        <v>388</v>
      </c>
      <c r="F348" s="137">
        <v>108825620</v>
      </c>
      <c r="G348" s="352" t="s">
        <v>351</v>
      </c>
      <c r="H348" s="350">
        <f>F348/$L$18</f>
        <v>9.7455945681416412E-2</v>
      </c>
      <c r="I348" s="129">
        <v>0.10000737904595926</v>
      </c>
      <c r="J348" s="9"/>
    </row>
    <row r="349" spans="1:10" ht="30">
      <c r="A349" s="136" t="s">
        <v>267</v>
      </c>
      <c r="B349" s="136">
        <v>4</v>
      </c>
      <c r="C349" s="136"/>
      <c r="D349" s="353"/>
      <c r="E349" s="136" t="s">
        <v>386</v>
      </c>
      <c r="F349" s="137">
        <v>103846970</v>
      </c>
      <c r="G349" s="352" t="s">
        <v>351</v>
      </c>
      <c r="H349" s="350">
        <f>F349/$L$18</f>
        <v>9.299744552339495E-2</v>
      </c>
      <c r="I349" s="129">
        <v>9.543215367451488E-2</v>
      </c>
      <c r="J349" s="9"/>
    </row>
    <row r="350" spans="1:10">
      <c r="A350" s="136" t="s">
        <v>267</v>
      </c>
      <c r="B350" s="136">
        <v>5</v>
      </c>
      <c r="C350" s="136"/>
      <c r="D350" s="353"/>
      <c r="E350" s="136" t="s">
        <v>396</v>
      </c>
      <c r="F350" s="137">
        <v>83974531</v>
      </c>
      <c r="G350" s="352" t="s">
        <v>351</v>
      </c>
      <c r="H350" s="350">
        <f>F350/$L$18</f>
        <v>7.5201201075246971E-2</v>
      </c>
      <c r="I350" s="129">
        <v>7.7169996843791527E-2</v>
      </c>
      <c r="J350" s="9"/>
    </row>
    <row r="351" spans="1:10">
      <c r="A351" s="136" t="s">
        <v>267</v>
      </c>
      <c r="B351" s="136">
        <v>1</v>
      </c>
      <c r="C351" s="136"/>
      <c r="D351" s="353"/>
      <c r="E351" s="136" t="s">
        <v>384</v>
      </c>
      <c r="F351" s="137">
        <v>241139437</v>
      </c>
      <c r="G351" s="352" t="s">
        <v>355</v>
      </c>
      <c r="H351" s="350">
        <f>F351/$M$18</f>
        <v>0.15705618618784573</v>
      </c>
      <c r="I351" s="129">
        <v>0.17281941607696125</v>
      </c>
      <c r="J351" s="9"/>
    </row>
    <row r="352" spans="1:10">
      <c r="A352" s="136" t="s">
        <v>267</v>
      </c>
      <c r="B352" s="136">
        <v>2</v>
      </c>
      <c r="C352" s="136"/>
      <c r="D352" s="353"/>
      <c r="E352" s="136" t="s">
        <v>388</v>
      </c>
      <c r="F352" s="137">
        <v>183091442</v>
      </c>
      <c r="G352" s="352" t="s">
        <v>355</v>
      </c>
      <c r="H352" s="350">
        <f>F352/$M$18</f>
        <v>0.11924902853676794</v>
      </c>
      <c r="I352" s="129">
        <v>0.1312176742584367</v>
      </c>
      <c r="J352" s="9"/>
    </row>
    <row r="353" spans="1:10">
      <c r="A353" s="136" t="s">
        <v>267</v>
      </c>
      <c r="B353" s="136">
        <v>3</v>
      </c>
      <c r="C353" s="136"/>
      <c r="D353" s="353"/>
      <c r="E353" s="136" t="s">
        <v>385</v>
      </c>
      <c r="F353" s="137">
        <v>162400416</v>
      </c>
      <c r="G353" s="352" t="s">
        <v>355</v>
      </c>
      <c r="H353" s="350">
        <f>F353/$M$18</f>
        <v>0.10577278561150326</v>
      </c>
      <c r="I353" s="129">
        <v>0.1163888636920704</v>
      </c>
      <c r="J353" s="9"/>
    </row>
    <row r="354" spans="1:10">
      <c r="A354" s="136" t="s">
        <v>267</v>
      </c>
      <c r="B354" s="136">
        <v>4</v>
      </c>
      <c r="C354" s="136"/>
      <c r="D354" s="353"/>
      <c r="E354" s="136" t="s">
        <v>387</v>
      </c>
      <c r="F354" s="137">
        <v>153920908</v>
      </c>
      <c r="G354" s="352" t="s">
        <v>355</v>
      </c>
      <c r="H354" s="350">
        <f>F354/$M$18</f>
        <v>0.10025000923034531</v>
      </c>
      <c r="I354" s="129">
        <v>0.11031178381077365</v>
      </c>
      <c r="J354" s="9"/>
    </row>
    <row r="355" spans="1:10">
      <c r="A355" s="136" t="s">
        <v>267</v>
      </c>
      <c r="B355" s="136">
        <v>5</v>
      </c>
      <c r="C355" s="136"/>
      <c r="D355" s="353"/>
      <c r="E355" s="136" t="s">
        <v>398</v>
      </c>
      <c r="F355" s="137">
        <v>69632279</v>
      </c>
      <c r="G355" s="352" t="s">
        <v>355</v>
      </c>
      <c r="H355" s="350">
        <f>F355/$M$18</f>
        <v>4.5352101304391865E-2</v>
      </c>
      <c r="I355" s="9">
        <v>4.9903947469563226E-2</v>
      </c>
      <c r="J355" s="9"/>
    </row>
  </sheetData>
  <hyperlinks>
    <hyperlink ref="X2" r:id="rId1" xr:uid="{00000000-0004-0000-0A00-000000000000}"/>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W16596"/>
  <sheetViews>
    <sheetView workbookViewId="0">
      <selection activeCell="A21" activeCellId="1" sqref="A4:XFD5 A21:XFD35"/>
    </sheetView>
  </sheetViews>
  <sheetFormatPr baseColWidth="10" defaultRowHeight="15"/>
  <cols>
    <col min="1" max="1" width="9.85546875" customWidth="1"/>
    <col min="2" max="2" width="21.42578125" style="124" bestFit="1" customWidth="1"/>
  </cols>
  <sheetData>
    <row r="3" spans="1:16">
      <c r="A3" s="83" t="s">
        <v>1714</v>
      </c>
      <c r="B3" s="144"/>
      <c r="C3" s="81"/>
      <c r="D3" s="81"/>
      <c r="E3" s="81"/>
      <c r="F3" s="81"/>
      <c r="G3" s="81"/>
      <c r="H3" s="81"/>
      <c r="I3" s="81"/>
    </row>
    <row r="4" spans="1:16">
      <c r="A4" s="82"/>
      <c r="B4" s="131"/>
      <c r="C4" s="9"/>
      <c r="D4" s="305">
        <v>2015</v>
      </c>
      <c r="E4" s="305">
        <v>2015</v>
      </c>
      <c r="F4" s="305">
        <v>2015</v>
      </c>
      <c r="G4" s="305">
        <v>2015</v>
      </c>
      <c r="H4" s="305">
        <v>2015</v>
      </c>
      <c r="I4" s="305">
        <v>2015</v>
      </c>
      <c r="J4" s="305">
        <v>2015</v>
      </c>
      <c r="K4" s="305">
        <v>2015</v>
      </c>
      <c r="L4" s="305">
        <v>2015</v>
      </c>
      <c r="M4" s="305">
        <v>2015</v>
      </c>
      <c r="N4" s="305">
        <v>2015</v>
      </c>
      <c r="O4" s="305">
        <v>2015</v>
      </c>
    </row>
    <row r="5" spans="1:16" ht="90">
      <c r="A5" s="66" t="s">
        <v>251</v>
      </c>
      <c r="B5" s="145" t="s">
        <v>252</v>
      </c>
      <c r="C5" s="68" t="s">
        <v>989</v>
      </c>
      <c r="D5" s="679" t="s">
        <v>985</v>
      </c>
      <c r="E5" s="679" t="s">
        <v>986</v>
      </c>
      <c r="F5" s="679" t="s">
        <v>991</v>
      </c>
      <c r="G5" s="679" t="s">
        <v>992</v>
      </c>
      <c r="H5" s="306" t="s">
        <v>995</v>
      </c>
      <c r="I5" s="306" t="s">
        <v>996</v>
      </c>
      <c r="J5" s="679" t="s">
        <v>987</v>
      </c>
      <c r="K5" s="679" t="s">
        <v>988</v>
      </c>
      <c r="L5" s="679" t="s">
        <v>993</v>
      </c>
      <c r="M5" s="679" t="s">
        <v>994</v>
      </c>
      <c r="N5" s="306" t="s">
        <v>997</v>
      </c>
      <c r="O5" s="306" t="s">
        <v>998</v>
      </c>
      <c r="P5" s="68" t="s">
        <v>990</v>
      </c>
    </row>
    <row r="6" spans="1:16">
      <c r="A6" s="71" t="s">
        <v>88</v>
      </c>
      <c r="B6" s="72" t="s">
        <v>89</v>
      </c>
      <c r="C6" s="73">
        <v>61214</v>
      </c>
      <c r="D6" s="675">
        <v>37327</v>
      </c>
      <c r="E6" s="675">
        <v>23887</v>
      </c>
      <c r="F6" s="675">
        <v>1174</v>
      </c>
      <c r="G6" s="675">
        <v>14</v>
      </c>
      <c r="H6" s="307">
        <v>36153</v>
      </c>
      <c r="I6" s="307">
        <v>23873</v>
      </c>
      <c r="J6" s="675">
        <v>107799</v>
      </c>
      <c r="K6" s="675">
        <v>52155</v>
      </c>
      <c r="L6" s="675">
        <v>40213</v>
      </c>
      <c r="M6" s="675">
        <v>622</v>
      </c>
      <c r="N6" s="307">
        <v>67586</v>
      </c>
      <c r="O6" s="307">
        <v>51533</v>
      </c>
      <c r="P6">
        <v>159954</v>
      </c>
    </row>
    <row r="7" spans="1:16">
      <c r="A7" s="71" t="s">
        <v>5</v>
      </c>
      <c r="B7" s="72" t="s">
        <v>6</v>
      </c>
      <c r="C7" s="73">
        <v>138426</v>
      </c>
      <c r="D7" s="675">
        <v>83093</v>
      </c>
      <c r="E7" s="675">
        <v>55333</v>
      </c>
      <c r="F7" s="675">
        <v>2775</v>
      </c>
      <c r="G7" s="675">
        <v>48</v>
      </c>
      <c r="H7" s="307">
        <v>80318</v>
      </c>
      <c r="I7" s="307">
        <v>55285</v>
      </c>
      <c r="J7" s="675">
        <v>316760</v>
      </c>
      <c r="K7" s="675">
        <v>160120</v>
      </c>
      <c r="L7" s="675">
        <v>113787</v>
      </c>
      <c r="M7" s="675">
        <v>2976</v>
      </c>
      <c r="N7" s="307">
        <v>202973</v>
      </c>
      <c r="O7" s="307">
        <v>157144</v>
      </c>
      <c r="P7">
        <v>554440</v>
      </c>
    </row>
    <row r="8" spans="1:16">
      <c r="A8" s="71" t="s">
        <v>87</v>
      </c>
      <c r="B8" s="72" t="s">
        <v>1076</v>
      </c>
      <c r="C8" s="73">
        <v>17681</v>
      </c>
      <c r="D8" s="675">
        <v>12698</v>
      </c>
      <c r="E8" s="675">
        <v>4983</v>
      </c>
      <c r="F8" s="675">
        <v>676</v>
      </c>
      <c r="G8" s="675">
        <v>2</v>
      </c>
      <c r="H8" s="307">
        <v>12022</v>
      </c>
      <c r="I8" s="307">
        <v>4981</v>
      </c>
      <c r="J8" s="675">
        <v>68535</v>
      </c>
      <c r="K8" s="675">
        <v>29384</v>
      </c>
      <c r="L8" s="675">
        <v>22935</v>
      </c>
      <c r="M8" s="675">
        <v>2</v>
      </c>
      <c r="N8" s="307">
        <v>45600</v>
      </c>
      <c r="O8" s="307">
        <v>29382</v>
      </c>
      <c r="P8">
        <v>285837</v>
      </c>
    </row>
    <row r="9" spans="1:16">
      <c r="A9" s="71" t="s">
        <v>7</v>
      </c>
      <c r="B9" s="72" t="s">
        <v>8</v>
      </c>
      <c r="C9" s="73">
        <v>82140</v>
      </c>
      <c r="D9" s="675">
        <v>51639</v>
      </c>
      <c r="E9" s="675">
        <v>30501</v>
      </c>
      <c r="F9" s="675">
        <v>2462</v>
      </c>
      <c r="G9" s="675">
        <v>34</v>
      </c>
      <c r="H9" s="307">
        <v>49177</v>
      </c>
      <c r="I9" s="307">
        <v>30467</v>
      </c>
      <c r="J9" s="675">
        <v>184884</v>
      </c>
      <c r="K9" s="675">
        <v>116190</v>
      </c>
      <c r="L9" s="675">
        <v>76289</v>
      </c>
      <c r="M9" s="675">
        <v>2838</v>
      </c>
      <c r="N9" s="307">
        <v>108595</v>
      </c>
      <c r="O9" s="307">
        <v>113352</v>
      </c>
      <c r="P9">
        <v>377654</v>
      </c>
    </row>
    <row r="10" spans="1:16">
      <c r="A10" s="71" t="s">
        <v>9</v>
      </c>
      <c r="B10" s="72" t="s">
        <v>10</v>
      </c>
      <c r="C10" s="73">
        <v>73728</v>
      </c>
      <c r="D10" s="675">
        <v>43235</v>
      </c>
      <c r="E10" s="675">
        <v>30493</v>
      </c>
      <c r="F10" s="675">
        <v>1796</v>
      </c>
      <c r="G10" s="675">
        <v>31</v>
      </c>
      <c r="H10" s="307">
        <v>41439</v>
      </c>
      <c r="I10" s="307">
        <v>30462</v>
      </c>
      <c r="J10" s="675">
        <v>256896</v>
      </c>
      <c r="K10" s="675">
        <v>120758</v>
      </c>
      <c r="L10" s="675">
        <v>100531</v>
      </c>
      <c r="M10" s="675">
        <v>1373</v>
      </c>
      <c r="N10" s="307">
        <v>156365</v>
      </c>
      <c r="O10" s="307">
        <v>119385</v>
      </c>
      <c r="P10">
        <v>97919</v>
      </c>
    </row>
    <row r="11" spans="1:16">
      <c r="A11" s="75" t="s">
        <v>11</v>
      </c>
      <c r="B11" s="72" t="s">
        <v>12</v>
      </c>
      <c r="C11" s="73">
        <v>195243</v>
      </c>
      <c r="D11" s="675">
        <v>110220</v>
      </c>
      <c r="E11" s="675">
        <v>85023</v>
      </c>
      <c r="F11" s="675">
        <v>3137</v>
      </c>
      <c r="G11" s="675">
        <v>68</v>
      </c>
      <c r="H11" s="307">
        <v>107083</v>
      </c>
      <c r="I11" s="307">
        <v>84955</v>
      </c>
      <c r="J11" s="675">
        <v>464714</v>
      </c>
      <c r="K11" s="675">
        <v>322835</v>
      </c>
      <c r="L11" s="675">
        <v>151966</v>
      </c>
      <c r="M11" s="675">
        <v>3554</v>
      </c>
      <c r="N11" s="307">
        <v>312748</v>
      </c>
      <c r="O11" s="307">
        <v>319281</v>
      </c>
      <c r="P11">
        <v>258824</v>
      </c>
    </row>
    <row r="12" spans="1:16">
      <c r="A12" s="75" t="s">
        <v>13</v>
      </c>
      <c r="B12" s="72" t="s">
        <v>54</v>
      </c>
      <c r="C12" s="73">
        <v>137321</v>
      </c>
      <c r="D12" s="675">
        <v>88339</v>
      </c>
      <c r="E12" s="675">
        <v>48982</v>
      </c>
      <c r="F12" s="675">
        <v>1985</v>
      </c>
      <c r="G12" s="675">
        <v>52</v>
      </c>
      <c r="H12" s="307">
        <v>86354</v>
      </c>
      <c r="I12" s="307">
        <v>48930</v>
      </c>
      <c r="J12" s="675">
        <v>331357</v>
      </c>
      <c r="K12" s="675">
        <v>143676</v>
      </c>
      <c r="L12" s="675">
        <v>113737</v>
      </c>
      <c r="M12" s="675">
        <v>4079</v>
      </c>
      <c r="N12" s="307">
        <v>217620</v>
      </c>
      <c r="O12" s="307">
        <v>139597</v>
      </c>
      <c r="P12">
        <v>417639</v>
      </c>
    </row>
    <row r="13" spans="1:16">
      <c r="A13" s="75" t="s">
        <v>14</v>
      </c>
      <c r="B13" s="72" t="s">
        <v>15</v>
      </c>
      <c r="C13" s="73">
        <v>84935</v>
      </c>
      <c r="D13" s="675">
        <v>52137</v>
      </c>
      <c r="E13" s="675">
        <v>32798</v>
      </c>
      <c r="F13" s="675">
        <v>1192</v>
      </c>
      <c r="G13" s="675">
        <v>59</v>
      </c>
      <c r="H13" s="307">
        <v>50945</v>
      </c>
      <c r="I13" s="307">
        <v>32739</v>
      </c>
      <c r="J13" s="675">
        <v>177281</v>
      </c>
      <c r="K13" s="675">
        <v>68473</v>
      </c>
      <c r="L13" s="675">
        <v>64833</v>
      </c>
      <c r="M13" s="675">
        <v>4127</v>
      </c>
      <c r="N13" s="307">
        <v>112448</v>
      </c>
      <c r="O13" s="307">
        <v>64346</v>
      </c>
      <c r="P13">
        <v>299912</v>
      </c>
    </row>
    <row r="14" spans="1:16">
      <c r="A14" s="75" t="s">
        <v>16</v>
      </c>
      <c r="B14" s="72" t="s">
        <v>17</v>
      </c>
      <c r="C14" s="73">
        <v>97949</v>
      </c>
      <c r="D14" s="675">
        <v>55366</v>
      </c>
      <c r="E14" s="675">
        <v>42583</v>
      </c>
      <c r="F14" s="675">
        <v>2038</v>
      </c>
      <c r="G14" s="675">
        <v>28</v>
      </c>
      <c r="H14" s="307">
        <v>53328</v>
      </c>
      <c r="I14" s="307">
        <v>42555</v>
      </c>
      <c r="J14" s="675">
        <v>256276</v>
      </c>
      <c r="K14" s="675">
        <v>161363</v>
      </c>
      <c r="L14" s="675">
        <v>85706</v>
      </c>
      <c r="M14" s="675">
        <v>1524</v>
      </c>
      <c r="N14" s="307">
        <v>170570</v>
      </c>
      <c r="O14" s="307">
        <v>159839</v>
      </c>
      <c r="P14">
        <v>476880</v>
      </c>
    </row>
    <row r="15" spans="1:16">
      <c r="A15" s="75" t="s">
        <v>18</v>
      </c>
      <c r="B15" s="72" t="s">
        <v>19</v>
      </c>
      <c r="C15" s="73">
        <v>87360</v>
      </c>
      <c r="D15" s="675">
        <v>57783</v>
      </c>
      <c r="E15" s="675">
        <v>29577</v>
      </c>
      <c r="F15" s="675">
        <v>1156</v>
      </c>
      <c r="G15" s="675">
        <v>34</v>
      </c>
      <c r="H15" s="307">
        <v>56627</v>
      </c>
      <c r="I15" s="307">
        <v>29543</v>
      </c>
      <c r="J15" s="675">
        <v>165852</v>
      </c>
      <c r="K15" s="675">
        <v>46619</v>
      </c>
      <c r="L15" s="675">
        <v>56183</v>
      </c>
      <c r="M15" s="675">
        <v>566</v>
      </c>
      <c r="N15" s="307">
        <v>109669</v>
      </c>
      <c r="O15" s="307">
        <v>46053</v>
      </c>
      <c r="P15">
        <v>301074</v>
      </c>
    </row>
    <row r="16" spans="1:16">
      <c r="A16" s="75" t="s">
        <v>20</v>
      </c>
      <c r="B16" s="72" t="s">
        <v>21</v>
      </c>
      <c r="C16" s="73">
        <v>71415</v>
      </c>
      <c r="D16" s="675">
        <v>39209</v>
      </c>
      <c r="E16" s="675">
        <v>32206</v>
      </c>
      <c r="F16" s="675">
        <v>1839</v>
      </c>
      <c r="G16" s="675">
        <v>31</v>
      </c>
      <c r="H16" s="307">
        <v>37370</v>
      </c>
      <c r="I16" s="307">
        <v>32175</v>
      </c>
      <c r="J16" s="675">
        <v>189691</v>
      </c>
      <c r="K16" s="675">
        <v>110221</v>
      </c>
      <c r="L16" s="675">
        <v>73961</v>
      </c>
      <c r="M16" s="675">
        <v>2349</v>
      </c>
      <c r="N16" s="307">
        <v>115730</v>
      </c>
      <c r="O16" s="307">
        <v>107872</v>
      </c>
      <c r="P16">
        <v>787549</v>
      </c>
    </row>
    <row r="17" spans="1:16">
      <c r="A17" s="75" t="s">
        <v>22</v>
      </c>
      <c r="B17" s="72" t="s">
        <v>23</v>
      </c>
      <c r="C17" s="73">
        <v>60997</v>
      </c>
      <c r="D17" s="675">
        <v>38798</v>
      </c>
      <c r="E17" s="675">
        <v>22199</v>
      </c>
      <c r="F17" s="675">
        <v>2767</v>
      </c>
      <c r="G17" s="675">
        <v>18</v>
      </c>
      <c r="H17" s="307">
        <v>36031</v>
      </c>
      <c r="I17" s="307">
        <v>22181</v>
      </c>
      <c r="J17" s="675">
        <v>192897</v>
      </c>
      <c r="K17" s="675">
        <v>92940</v>
      </c>
      <c r="L17" s="675">
        <v>78678</v>
      </c>
      <c r="M17" s="675">
        <v>406</v>
      </c>
      <c r="N17" s="307">
        <v>114219</v>
      </c>
      <c r="O17" s="307">
        <v>92534</v>
      </c>
      <c r="P17">
        <v>245754</v>
      </c>
    </row>
    <row r="18" spans="1:16">
      <c r="A18" s="75" t="s">
        <v>24</v>
      </c>
      <c r="B18" s="72" t="s">
        <v>25</v>
      </c>
      <c r="C18" s="73">
        <v>58865</v>
      </c>
      <c r="D18" s="675">
        <v>35302</v>
      </c>
      <c r="E18" s="675">
        <v>23563</v>
      </c>
      <c r="F18" s="675">
        <v>1254</v>
      </c>
      <c r="G18" s="675">
        <v>35</v>
      </c>
      <c r="H18" s="307">
        <v>34048</v>
      </c>
      <c r="I18" s="307">
        <v>23528</v>
      </c>
      <c r="J18" s="675">
        <v>167499</v>
      </c>
      <c r="K18" s="675">
        <v>91325</v>
      </c>
      <c r="L18" s="675">
        <v>60517</v>
      </c>
      <c r="M18" s="675">
        <v>2141</v>
      </c>
      <c r="N18" s="307">
        <v>106982</v>
      </c>
      <c r="O18" s="307">
        <v>89184</v>
      </c>
      <c r="P18">
        <v>212471</v>
      </c>
    </row>
    <row r="19" spans="1:16">
      <c r="A19" s="75" t="s">
        <v>51</v>
      </c>
      <c r="B19" s="72" t="s">
        <v>55</v>
      </c>
      <c r="C19" s="73">
        <v>67330</v>
      </c>
      <c r="D19" s="675">
        <v>45743</v>
      </c>
      <c r="E19" s="675">
        <v>21587</v>
      </c>
      <c r="F19" s="675">
        <v>978</v>
      </c>
      <c r="G19" s="675">
        <v>13</v>
      </c>
      <c r="H19" s="307">
        <v>44765</v>
      </c>
      <c r="I19" s="307">
        <v>21574</v>
      </c>
      <c r="J19" s="675">
        <v>133418</v>
      </c>
      <c r="K19" s="675">
        <v>36046</v>
      </c>
      <c r="L19" s="675">
        <v>47888</v>
      </c>
      <c r="M19" s="675">
        <v>358</v>
      </c>
      <c r="N19" s="307">
        <v>85530</v>
      </c>
      <c r="O19" s="307">
        <v>35688</v>
      </c>
      <c r="P19">
        <v>475033</v>
      </c>
    </row>
    <row r="20" spans="1:16">
      <c r="A20" s="75" t="s">
        <v>26</v>
      </c>
      <c r="B20" s="72" t="s">
        <v>27</v>
      </c>
      <c r="C20" s="73">
        <v>149095</v>
      </c>
      <c r="D20" s="675">
        <v>88785</v>
      </c>
      <c r="E20" s="675">
        <v>60310</v>
      </c>
      <c r="F20" s="675">
        <v>3456</v>
      </c>
      <c r="G20" s="675">
        <v>70</v>
      </c>
      <c r="H20" s="307">
        <v>85329</v>
      </c>
      <c r="I20" s="307">
        <v>60240</v>
      </c>
      <c r="J20" s="675">
        <v>337750</v>
      </c>
      <c r="K20" s="675">
        <v>216690</v>
      </c>
      <c r="L20" s="675">
        <v>123277</v>
      </c>
      <c r="M20" s="675">
        <v>5121</v>
      </c>
      <c r="N20" s="307">
        <v>214473</v>
      </c>
      <c r="O20" s="307">
        <v>211569</v>
      </c>
      <c r="P20">
        <v>169464</v>
      </c>
    </row>
    <row r="21" spans="1:16">
      <c r="A21" s="69" t="s">
        <v>28</v>
      </c>
      <c r="B21" s="75" t="s">
        <v>29</v>
      </c>
      <c r="C21" s="73">
        <v>239653</v>
      </c>
      <c r="D21" s="675">
        <v>135701</v>
      </c>
      <c r="E21" s="675">
        <v>103952</v>
      </c>
      <c r="F21" s="675">
        <v>4308</v>
      </c>
      <c r="G21" s="675">
        <v>73</v>
      </c>
      <c r="H21" s="307">
        <v>131393</v>
      </c>
      <c r="I21" s="307">
        <v>103879</v>
      </c>
      <c r="J21" s="675">
        <v>533716</v>
      </c>
      <c r="K21" s="675">
        <v>379881</v>
      </c>
      <c r="L21" s="675">
        <v>174093</v>
      </c>
      <c r="M21" s="675">
        <v>3579</v>
      </c>
      <c r="N21" s="307">
        <v>359623</v>
      </c>
      <c r="O21" s="307">
        <v>376302</v>
      </c>
      <c r="P21">
        <v>913597</v>
      </c>
    </row>
    <row r="22" spans="1:16">
      <c r="A22" s="69" t="s">
        <v>30</v>
      </c>
      <c r="B22" s="75" t="s">
        <v>253</v>
      </c>
      <c r="C22" s="73">
        <v>185687</v>
      </c>
      <c r="D22" s="675">
        <v>117275</v>
      </c>
      <c r="E22" s="675">
        <v>68412</v>
      </c>
      <c r="F22" s="675">
        <v>2827</v>
      </c>
      <c r="G22" s="675">
        <v>70</v>
      </c>
      <c r="H22" s="307">
        <v>114448</v>
      </c>
      <c r="I22" s="307">
        <v>68342</v>
      </c>
      <c r="J22" s="675">
        <v>437651</v>
      </c>
      <c r="K22" s="675">
        <v>209979</v>
      </c>
      <c r="L22" s="675">
        <v>152706</v>
      </c>
      <c r="M22" s="675">
        <v>4199</v>
      </c>
      <c r="N22" s="307">
        <v>284945</v>
      </c>
      <c r="O22" s="307">
        <v>205780</v>
      </c>
      <c r="P22">
        <v>647630</v>
      </c>
    </row>
    <row r="23" spans="1:16">
      <c r="A23" s="69" t="s">
        <v>31</v>
      </c>
      <c r="B23" s="75" t="s">
        <v>32</v>
      </c>
      <c r="C23" s="73">
        <v>133616</v>
      </c>
      <c r="D23" s="675">
        <v>80311</v>
      </c>
      <c r="E23" s="675">
        <v>53305</v>
      </c>
      <c r="F23" s="675">
        <v>2743</v>
      </c>
      <c r="G23" s="675">
        <v>66</v>
      </c>
      <c r="H23" s="307">
        <v>77568</v>
      </c>
      <c r="I23" s="307">
        <v>53239</v>
      </c>
      <c r="J23" s="675">
        <v>316298</v>
      </c>
      <c r="K23" s="675">
        <v>206009</v>
      </c>
      <c r="L23" s="675">
        <v>114442</v>
      </c>
      <c r="M23" s="675">
        <v>5119</v>
      </c>
      <c r="N23" s="307">
        <v>201856</v>
      </c>
      <c r="O23" s="307">
        <v>200890</v>
      </c>
      <c r="P23">
        <v>522307</v>
      </c>
    </row>
    <row r="24" spans="1:16">
      <c r="A24" s="69" t="s">
        <v>33</v>
      </c>
      <c r="B24" s="75" t="s">
        <v>34</v>
      </c>
      <c r="C24" s="73">
        <v>102734</v>
      </c>
      <c r="D24" s="675">
        <v>60084</v>
      </c>
      <c r="E24" s="675">
        <v>42650</v>
      </c>
      <c r="F24" s="675">
        <v>2469</v>
      </c>
      <c r="G24" s="675">
        <v>32</v>
      </c>
      <c r="H24" s="307">
        <v>57615</v>
      </c>
      <c r="I24" s="307">
        <v>42618</v>
      </c>
      <c r="J24" s="675">
        <v>328580</v>
      </c>
      <c r="K24" s="675">
        <v>172144</v>
      </c>
      <c r="L24" s="675">
        <v>123644</v>
      </c>
      <c r="M24" s="675">
        <v>1373</v>
      </c>
      <c r="N24" s="307">
        <v>204936</v>
      </c>
      <c r="O24" s="307">
        <v>170771</v>
      </c>
      <c r="P24">
        <v>500724</v>
      </c>
    </row>
    <row r="25" spans="1:16">
      <c r="A25" s="69" t="s">
        <v>35</v>
      </c>
      <c r="B25" s="75" t="s">
        <v>61</v>
      </c>
      <c r="C25" s="73">
        <v>129877</v>
      </c>
      <c r="D25" s="675">
        <v>78634</v>
      </c>
      <c r="E25" s="675">
        <v>51243</v>
      </c>
      <c r="F25" s="675">
        <v>2301</v>
      </c>
      <c r="G25" s="675">
        <v>46</v>
      </c>
      <c r="H25" s="307">
        <v>76333</v>
      </c>
      <c r="I25" s="307">
        <v>51197</v>
      </c>
      <c r="J25" s="675">
        <v>304318</v>
      </c>
      <c r="K25" s="675">
        <v>151313</v>
      </c>
      <c r="L25" s="675">
        <v>108245</v>
      </c>
      <c r="M25" s="675">
        <v>2951</v>
      </c>
      <c r="N25" s="307">
        <v>196073</v>
      </c>
      <c r="O25" s="307">
        <v>148362</v>
      </c>
      <c r="P25">
        <v>455631</v>
      </c>
    </row>
    <row r="26" spans="1:16">
      <c r="A26" s="69" t="s">
        <v>36</v>
      </c>
      <c r="B26" s="75" t="s">
        <v>37</v>
      </c>
      <c r="C26" s="73">
        <v>147722</v>
      </c>
      <c r="D26" s="675">
        <v>95794</v>
      </c>
      <c r="E26" s="675">
        <v>51928</v>
      </c>
      <c r="F26" s="675">
        <v>1631</v>
      </c>
      <c r="G26" s="675">
        <v>54</v>
      </c>
      <c r="H26" s="307">
        <v>94163</v>
      </c>
      <c r="I26" s="307">
        <v>51874</v>
      </c>
      <c r="J26" s="675">
        <v>258752</v>
      </c>
      <c r="K26" s="675">
        <v>97598</v>
      </c>
      <c r="L26" s="675">
        <v>83088</v>
      </c>
      <c r="M26" s="675">
        <v>2004</v>
      </c>
      <c r="N26" s="307">
        <v>175664</v>
      </c>
      <c r="O26" s="307">
        <v>95594</v>
      </c>
      <c r="P26">
        <v>356350</v>
      </c>
    </row>
    <row r="27" spans="1:16">
      <c r="A27" s="69" t="s">
        <v>38</v>
      </c>
      <c r="B27" s="75" t="s">
        <v>39</v>
      </c>
      <c r="C27" s="73">
        <v>86849</v>
      </c>
      <c r="D27" s="675">
        <v>49423</v>
      </c>
      <c r="E27" s="675">
        <v>37426</v>
      </c>
      <c r="F27" s="675">
        <v>1731</v>
      </c>
      <c r="G27" s="675">
        <v>25</v>
      </c>
      <c r="H27" s="307">
        <v>47692</v>
      </c>
      <c r="I27" s="307">
        <v>37401</v>
      </c>
      <c r="J27" s="675">
        <v>236022</v>
      </c>
      <c r="K27" s="675">
        <v>140958</v>
      </c>
      <c r="L27" s="675">
        <v>79474</v>
      </c>
      <c r="M27" s="675">
        <v>1509</v>
      </c>
      <c r="N27" s="307">
        <v>156548</v>
      </c>
      <c r="O27" s="307">
        <v>139449</v>
      </c>
      <c r="P27">
        <v>376980</v>
      </c>
    </row>
    <row r="28" spans="1:16">
      <c r="A28" s="69" t="s">
        <v>40</v>
      </c>
      <c r="B28" s="75" t="s">
        <v>41</v>
      </c>
      <c r="C28" s="73">
        <v>76315</v>
      </c>
      <c r="D28" s="675">
        <v>45156</v>
      </c>
      <c r="E28" s="675">
        <v>31159</v>
      </c>
      <c r="F28" s="675">
        <v>1989</v>
      </c>
      <c r="G28" s="675">
        <v>45</v>
      </c>
      <c r="H28" s="307">
        <v>43167</v>
      </c>
      <c r="I28" s="307">
        <v>31114</v>
      </c>
      <c r="J28" s="675">
        <v>191259</v>
      </c>
      <c r="K28" s="675">
        <v>118449</v>
      </c>
      <c r="L28" s="675">
        <v>66531</v>
      </c>
      <c r="M28" s="675">
        <v>2281</v>
      </c>
      <c r="N28" s="307">
        <v>124728</v>
      </c>
      <c r="O28" s="307">
        <v>116168</v>
      </c>
      <c r="P28">
        <v>309708</v>
      </c>
    </row>
    <row r="29" spans="1:16">
      <c r="A29" s="69" t="s">
        <v>42</v>
      </c>
      <c r="B29" s="75" t="s">
        <v>43</v>
      </c>
      <c r="C29" s="73">
        <v>66320</v>
      </c>
      <c r="D29" s="675">
        <v>41108</v>
      </c>
      <c r="E29" s="675">
        <v>25212</v>
      </c>
      <c r="F29" s="675">
        <v>1855</v>
      </c>
      <c r="G29" s="675">
        <v>30</v>
      </c>
      <c r="H29" s="307">
        <v>39253</v>
      </c>
      <c r="I29" s="307">
        <v>25182</v>
      </c>
      <c r="J29" s="675">
        <v>161174</v>
      </c>
      <c r="K29" s="675">
        <v>106973</v>
      </c>
      <c r="L29" s="675">
        <v>68482</v>
      </c>
      <c r="M29" s="675">
        <v>2829</v>
      </c>
      <c r="N29" s="307">
        <v>92692</v>
      </c>
      <c r="O29" s="307">
        <v>104144</v>
      </c>
      <c r="P29">
        <v>268147</v>
      </c>
    </row>
    <row r="30" spans="1:16">
      <c r="A30" s="69" t="s">
        <v>44</v>
      </c>
      <c r="B30" s="75" t="s">
        <v>45</v>
      </c>
      <c r="C30" s="73">
        <v>63447</v>
      </c>
      <c r="D30" s="675">
        <v>35287</v>
      </c>
      <c r="E30" s="675">
        <v>28160</v>
      </c>
      <c r="F30" s="675">
        <v>1537</v>
      </c>
      <c r="G30" s="675">
        <v>29</v>
      </c>
      <c r="H30" s="307">
        <v>33750</v>
      </c>
      <c r="I30" s="307">
        <v>28131</v>
      </c>
      <c r="J30" s="675">
        <v>178482</v>
      </c>
      <c r="K30" s="675">
        <v>99338</v>
      </c>
      <c r="L30" s="675">
        <v>69691</v>
      </c>
      <c r="M30" s="675">
        <v>2348</v>
      </c>
      <c r="N30" s="307">
        <v>108791</v>
      </c>
      <c r="O30" s="307">
        <v>96990</v>
      </c>
      <c r="P30">
        <v>277820</v>
      </c>
    </row>
    <row r="31" spans="1:16">
      <c r="A31" s="69" t="s">
        <v>46</v>
      </c>
      <c r="B31" s="75" t="s">
        <v>47</v>
      </c>
      <c r="C31" s="73">
        <v>48408</v>
      </c>
      <c r="D31" s="675">
        <v>31068</v>
      </c>
      <c r="E31" s="675">
        <v>17340</v>
      </c>
      <c r="F31" s="675">
        <v>2017</v>
      </c>
      <c r="G31" s="675">
        <v>15</v>
      </c>
      <c r="H31" s="307">
        <v>29051</v>
      </c>
      <c r="I31" s="307">
        <v>17325</v>
      </c>
      <c r="J31" s="675">
        <v>164472</v>
      </c>
      <c r="K31" s="675">
        <v>69923</v>
      </c>
      <c r="L31" s="675">
        <v>67154</v>
      </c>
      <c r="M31" s="675">
        <v>400</v>
      </c>
      <c r="N31" s="307">
        <v>97318</v>
      </c>
      <c r="O31" s="307">
        <v>69523</v>
      </c>
      <c r="P31">
        <v>234395</v>
      </c>
    </row>
    <row r="32" spans="1:16">
      <c r="A32" s="69" t="s">
        <v>56</v>
      </c>
      <c r="B32" s="75" t="s">
        <v>63</v>
      </c>
      <c r="C32" s="73">
        <v>67109</v>
      </c>
      <c r="D32" s="675">
        <v>45373</v>
      </c>
      <c r="E32" s="675">
        <v>21736</v>
      </c>
      <c r="F32" s="675">
        <v>955</v>
      </c>
      <c r="G32" s="675">
        <v>12</v>
      </c>
      <c r="H32" s="307">
        <v>44418</v>
      </c>
      <c r="I32" s="307">
        <v>21724</v>
      </c>
      <c r="J32" s="675">
        <v>131969</v>
      </c>
      <c r="K32" s="675">
        <v>37411</v>
      </c>
      <c r="L32" s="675">
        <v>47739</v>
      </c>
      <c r="M32" s="675">
        <v>343</v>
      </c>
      <c r="N32" s="307">
        <v>84230</v>
      </c>
      <c r="O32" s="307">
        <v>37068</v>
      </c>
      <c r="P32">
        <v>169380</v>
      </c>
    </row>
    <row r="33" spans="1:16">
      <c r="A33" s="69" t="s">
        <v>57</v>
      </c>
      <c r="B33" s="75" t="s">
        <v>64</v>
      </c>
      <c r="C33" s="73">
        <v>27725</v>
      </c>
      <c r="D33" s="675">
        <v>19193</v>
      </c>
      <c r="E33" s="675">
        <v>8532</v>
      </c>
      <c r="F33" s="675">
        <v>1125</v>
      </c>
      <c r="G33" s="675">
        <v>2</v>
      </c>
      <c r="H33" s="307">
        <v>18068</v>
      </c>
      <c r="I33" s="307">
        <v>8530</v>
      </c>
      <c r="J33" s="675">
        <v>103396</v>
      </c>
      <c r="K33" s="675">
        <v>47136</v>
      </c>
      <c r="L33" s="675">
        <v>36648</v>
      </c>
      <c r="M33" s="675">
        <v>2</v>
      </c>
      <c r="N33" s="307">
        <v>66748</v>
      </c>
      <c r="O33" s="307">
        <v>47134</v>
      </c>
      <c r="P33">
        <v>150532</v>
      </c>
    </row>
    <row r="34" spans="1:16">
      <c r="A34" s="69" t="s">
        <v>48</v>
      </c>
      <c r="B34" s="75" t="s">
        <v>49</v>
      </c>
      <c r="C34" s="73">
        <v>74155</v>
      </c>
      <c r="D34" s="675">
        <v>44878</v>
      </c>
      <c r="E34" s="675">
        <v>29277</v>
      </c>
      <c r="F34" s="675">
        <v>1078</v>
      </c>
      <c r="G34" s="675">
        <v>57</v>
      </c>
      <c r="H34" s="307">
        <v>43800</v>
      </c>
      <c r="I34" s="307">
        <v>29220</v>
      </c>
      <c r="J34" s="675">
        <v>163125</v>
      </c>
      <c r="K34" s="675">
        <v>63190</v>
      </c>
      <c r="L34" s="675">
        <v>60462</v>
      </c>
      <c r="M34" s="675">
        <v>4094</v>
      </c>
      <c r="N34" s="307">
        <v>102663</v>
      </c>
      <c r="O34" s="307">
        <v>59096</v>
      </c>
      <c r="P34">
        <v>226315</v>
      </c>
    </row>
    <row r="35" spans="1:16">
      <c r="A35" s="69" t="s">
        <v>58</v>
      </c>
      <c r="B35" s="75" t="s">
        <v>65</v>
      </c>
      <c r="C35" s="73">
        <v>62969</v>
      </c>
      <c r="D35" s="675">
        <v>38630</v>
      </c>
      <c r="E35" s="675">
        <v>24339</v>
      </c>
      <c r="F35" s="675">
        <v>1175</v>
      </c>
      <c r="G35" s="675">
        <v>15</v>
      </c>
      <c r="H35" s="307">
        <v>37455</v>
      </c>
      <c r="I35" s="307">
        <v>24324</v>
      </c>
      <c r="J35" s="675">
        <v>112120</v>
      </c>
      <c r="K35" s="675">
        <v>54994</v>
      </c>
      <c r="L35" s="675">
        <v>41524</v>
      </c>
      <c r="M35" s="675">
        <v>633</v>
      </c>
      <c r="N35" s="307">
        <v>70596</v>
      </c>
      <c r="O35" s="307">
        <v>54361</v>
      </c>
      <c r="P35">
        <v>167114</v>
      </c>
    </row>
    <row r="36" spans="1:16">
      <c r="A36" s="69" t="s">
        <v>254</v>
      </c>
      <c r="B36" s="75" t="s">
        <v>234</v>
      </c>
      <c r="C36" s="73">
        <v>156985</v>
      </c>
      <c r="D36" s="675">
        <v>102584</v>
      </c>
      <c r="E36" s="675">
        <v>54401</v>
      </c>
      <c r="F36" s="675">
        <v>1892</v>
      </c>
      <c r="G36" s="675">
        <v>54</v>
      </c>
      <c r="H36" s="307">
        <v>100692</v>
      </c>
      <c r="I36" s="307">
        <v>54347</v>
      </c>
      <c r="J36" s="675">
        <v>273077</v>
      </c>
      <c r="K36" s="675">
        <v>98996</v>
      </c>
      <c r="L36" s="675">
        <v>88750</v>
      </c>
      <c r="M36" s="675">
        <v>2004</v>
      </c>
      <c r="N36" s="307">
        <v>184327</v>
      </c>
      <c r="O36" s="307">
        <v>96992</v>
      </c>
      <c r="P36">
        <v>372073</v>
      </c>
    </row>
    <row r="37" spans="1:16">
      <c r="A37" s="69" t="s">
        <v>255</v>
      </c>
      <c r="B37" s="75" t="s">
        <v>235</v>
      </c>
      <c r="C37" s="73">
        <v>216662</v>
      </c>
      <c r="D37" s="675">
        <v>135894</v>
      </c>
      <c r="E37" s="675">
        <v>80768</v>
      </c>
      <c r="F37" s="675">
        <v>3420</v>
      </c>
      <c r="G37" s="675">
        <v>76</v>
      </c>
      <c r="H37" s="307">
        <v>132474</v>
      </c>
      <c r="I37" s="307">
        <v>80692</v>
      </c>
      <c r="J37" s="675">
        <v>487499</v>
      </c>
      <c r="K37" s="675">
        <v>243165</v>
      </c>
      <c r="L37" s="675">
        <v>170430</v>
      </c>
      <c r="M37" s="675">
        <v>4267</v>
      </c>
      <c r="N37" s="307">
        <v>317069</v>
      </c>
      <c r="O37" s="307">
        <v>238898</v>
      </c>
      <c r="P37">
        <v>730664</v>
      </c>
    </row>
    <row r="38" spans="1:16">
      <c r="A38" s="69" t="s">
        <v>256</v>
      </c>
      <c r="B38" s="75" t="s">
        <v>236</v>
      </c>
      <c r="C38" s="73">
        <v>136270</v>
      </c>
      <c r="D38" s="675">
        <v>82459</v>
      </c>
      <c r="E38" s="675">
        <v>53811</v>
      </c>
      <c r="F38" s="675">
        <v>3041</v>
      </c>
      <c r="G38" s="675">
        <v>70</v>
      </c>
      <c r="H38" s="307">
        <v>79418</v>
      </c>
      <c r="I38" s="307">
        <v>53741</v>
      </c>
      <c r="J38" s="675">
        <v>324756</v>
      </c>
      <c r="K38" s="675">
        <v>207143</v>
      </c>
      <c r="L38" s="675">
        <v>118092</v>
      </c>
      <c r="M38" s="675">
        <v>5184</v>
      </c>
      <c r="N38" s="307">
        <v>206664</v>
      </c>
      <c r="O38" s="307">
        <v>201959</v>
      </c>
      <c r="P38">
        <v>531899</v>
      </c>
    </row>
    <row r="39" spans="1:16">
      <c r="A39" s="69" t="s">
        <v>71</v>
      </c>
      <c r="B39" s="75" t="s">
        <v>114</v>
      </c>
      <c r="C39" s="73">
        <v>168887</v>
      </c>
      <c r="D39" s="675">
        <v>101272</v>
      </c>
      <c r="E39" s="675">
        <v>67615</v>
      </c>
      <c r="F39" s="675">
        <v>3513</v>
      </c>
      <c r="G39" s="675">
        <v>57</v>
      </c>
      <c r="H39" s="307">
        <v>97759</v>
      </c>
      <c r="I39" s="307">
        <v>67558</v>
      </c>
      <c r="J39" s="675">
        <v>363619</v>
      </c>
      <c r="K39" s="675">
        <v>182548</v>
      </c>
      <c r="L39" s="675">
        <v>131043</v>
      </c>
      <c r="M39" s="675">
        <v>3129</v>
      </c>
      <c r="N39" s="307">
        <v>232576</v>
      </c>
      <c r="O39" s="307">
        <v>179419</v>
      </c>
      <c r="P39">
        <v>546167</v>
      </c>
    </row>
    <row r="40" spans="1:16">
      <c r="A40" s="69" t="s">
        <v>257</v>
      </c>
      <c r="B40" s="75" t="s">
        <v>237</v>
      </c>
      <c r="C40" s="73">
        <v>137228</v>
      </c>
      <c r="D40" s="675">
        <v>85758</v>
      </c>
      <c r="E40" s="675">
        <v>51470</v>
      </c>
      <c r="F40" s="675">
        <v>2316</v>
      </c>
      <c r="G40" s="675">
        <v>74</v>
      </c>
      <c r="H40" s="307">
        <v>83442</v>
      </c>
      <c r="I40" s="307">
        <v>51396</v>
      </c>
      <c r="J40" s="675">
        <v>257296</v>
      </c>
      <c r="K40" s="675">
        <v>92844</v>
      </c>
      <c r="L40" s="675">
        <v>95131</v>
      </c>
      <c r="M40" s="675">
        <v>4270</v>
      </c>
      <c r="N40" s="307">
        <v>162165</v>
      </c>
      <c r="O40" s="307">
        <v>88574</v>
      </c>
      <c r="P40">
        <v>350140</v>
      </c>
    </row>
    <row r="41" spans="1:16">
      <c r="A41" s="69" t="s">
        <v>258</v>
      </c>
      <c r="B41" s="75" t="s">
        <v>238</v>
      </c>
      <c r="C41" s="73">
        <v>94128</v>
      </c>
      <c r="D41" s="675">
        <v>52469</v>
      </c>
      <c r="E41" s="675">
        <v>41659</v>
      </c>
      <c r="F41" s="675">
        <v>2525</v>
      </c>
      <c r="G41" s="675">
        <v>39</v>
      </c>
      <c r="H41" s="307">
        <v>49944</v>
      </c>
      <c r="I41" s="307">
        <v>41620</v>
      </c>
      <c r="J41" s="675">
        <v>241302</v>
      </c>
      <c r="K41" s="675">
        <v>141057</v>
      </c>
      <c r="L41" s="675">
        <v>92629</v>
      </c>
      <c r="M41" s="675">
        <v>2585</v>
      </c>
      <c r="N41" s="307">
        <v>148673</v>
      </c>
      <c r="O41" s="307">
        <v>138472</v>
      </c>
      <c r="P41">
        <v>382359</v>
      </c>
    </row>
    <row r="42" spans="1:16">
      <c r="A42" s="69" t="s">
        <v>259</v>
      </c>
      <c r="B42" s="75" t="s">
        <v>239</v>
      </c>
      <c r="C42" s="73">
        <v>119254</v>
      </c>
      <c r="D42" s="675">
        <v>74414</v>
      </c>
      <c r="E42" s="675">
        <v>44840</v>
      </c>
      <c r="F42" s="675">
        <v>3550</v>
      </c>
      <c r="G42" s="675">
        <v>39</v>
      </c>
      <c r="H42" s="307">
        <v>70864</v>
      </c>
      <c r="I42" s="307">
        <v>44801</v>
      </c>
      <c r="J42" s="675">
        <v>251996</v>
      </c>
      <c r="K42" s="675">
        <v>166576</v>
      </c>
      <c r="L42" s="675">
        <v>98872</v>
      </c>
      <c r="M42" s="675">
        <v>2871</v>
      </c>
      <c r="N42" s="307">
        <v>153124</v>
      </c>
      <c r="O42" s="307">
        <v>163705</v>
      </c>
      <c r="P42">
        <v>418572</v>
      </c>
    </row>
    <row r="43" spans="1:16">
      <c r="A43" s="69" t="s">
        <v>260</v>
      </c>
      <c r="B43" s="75" t="s">
        <v>240</v>
      </c>
      <c r="C43" s="73">
        <v>125701</v>
      </c>
      <c r="D43" s="675">
        <v>72978</v>
      </c>
      <c r="E43" s="675">
        <v>52723</v>
      </c>
      <c r="F43" s="675">
        <v>2667</v>
      </c>
      <c r="G43" s="675">
        <v>35</v>
      </c>
      <c r="H43" s="307">
        <v>70311</v>
      </c>
      <c r="I43" s="307">
        <v>52688</v>
      </c>
      <c r="J43" s="675">
        <v>315640</v>
      </c>
      <c r="K43" s="675">
        <v>190988</v>
      </c>
      <c r="L43" s="675">
        <v>104847</v>
      </c>
      <c r="M43" s="675">
        <v>1549</v>
      </c>
      <c r="N43" s="307">
        <v>210793</v>
      </c>
      <c r="O43" s="307">
        <v>189439</v>
      </c>
      <c r="P43">
        <v>506628</v>
      </c>
    </row>
    <row r="44" spans="1:16">
      <c r="A44" s="69" t="s">
        <v>261</v>
      </c>
      <c r="B44" s="75" t="s">
        <v>241</v>
      </c>
      <c r="C44" s="73">
        <v>186308</v>
      </c>
      <c r="D44" s="675">
        <v>115038</v>
      </c>
      <c r="E44" s="675">
        <v>71270</v>
      </c>
      <c r="F44" s="675">
        <v>6364</v>
      </c>
      <c r="G44" s="675">
        <v>37</v>
      </c>
      <c r="H44" s="307">
        <v>108674</v>
      </c>
      <c r="I44" s="307">
        <v>71233</v>
      </c>
      <c r="J44" s="675">
        <v>586116</v>
      </c>
      <c r="K44" s="675">
        <v>309242</v>
      </c>
      <c r="L44" s="675">
        <v>231367</v>
      </c>
      <c r="M44" s="675">
        <v>1380</v>
      </c>
      <c r="N44" s="307">
        <v>354749</v>
      </c>
      <c r="O44" s="307">
        <v>307862</v>
      </c>
      <c r="P44">
        <v>895358</v>
      </c>
    </row>
    <row r="45" spans="1:16">
      <c r="A45" s="69" t="s">
        <v>262</v>
      </c>
      <c r="B45" s="75" t="s">
        <v>247</v>
      </c>
      <c r="C45" s="73">
        <v>91944</v>
      </c>
      <c r="D45" s="675">
        <v>60882</v>
      </c>
      <c r="E45" s="675">
        <v>31062</v>
      </c>
      <c r="F45" s="675">
        <v>4715</v>
      </c>
      <c r="G45" s="675">
        <v>15</v>
      </c>
      <c r="H45" s="307">
        <v>56167</v>
      </c>
      <c r="I45" s="307">
        <v>31047</v>
      </c>
      <c r="J45" s="675">
        <v>281235</v>
      </c>
      <c r="K45" s="675">
        <v>131409</v>
      </c>
      <c r="L45" s="675">
        <v>110612</v>
      </c>
      <c r="M45" s="675">
        <v>197</v>
      </c>
      <c r="N45" s="307">
        <v>170623</v>
      </c>
      <c r="O45" s="307">
        <v>131212</v>
      </c>
      <c r="P45">
        <v>412644</v>
      </c>
    </row>
    <row r="46" spans="1:16">
      <c r="A46" s="69" t="s">
        <v>263</v>
      </c>
      <c r="B46" s="75" t="s">
        <v>242</v>
      </c>
      <c r="C46" s="73">
        <v>104346</v>
      </c>
      <c r="D46" s="675">
        <v>62469</v>
      </c>
      <c r="E46" s="675">
        <v>41877</v>
      </c>
      <c r="F46" s="675">
        <v>3349</v>
      </c>
      <c r="G46" s="675">
        <v>57</v>
      </c>
      <c r="H46" s="307">
        <v>59120</v>
      </c>
      <c r="I46" s="307">
        <v>41820</v>
      </c>
      <c r="J46" s="675">
        <v>247536</v>
      </c>
      <c r="K46" s="675">
        <v>161293</v>
      </c>
      <c r="L46" s="675">
        <v>84875</v>
      </c>
      <c r="M46" s="675">
        <v>2376</v>
      </c>
      <c r="N46" s="307">
        <v>162661</v>
      </c>
      <c r="O46" s="307">
        <v>158917</v>
      </c>
      <c r="P46">
        <v>408829</v>
      </c>
    </row>
    <row r="47" spans="1:16">
      <c r="A47" s="69" t="s">
        <v>264</v>
      </c>
      <c r="B47" s="75" t="s">
        <v>243</v>
      </c>
      <c r="C47" s="73">
        <v>200970</v>
      </c>
      <c r="D47" s="675">
        <v>112085</v>
      </c>
      <c r="E47" s="675">
        <v>88885</v>
      </c>
      <c r="F47" s="675">
        <v>3222</v>
      </c>
      <c r="G47" s="675">
        <v>70</v>
      </c>
      <c r="H47" s="307">
        <v>108863</v>
      </c>
      <c r="I47" s="307">
        <v>88815</v>
      </c>
      <c r="J47" s="675">
        <v>474104</v>
      </c>
      <c r="K47" s="675">
        <v>321326</v>
      </c>
      <c r="L47" s="675">
        <v>155844</v>
      </c>
      <c r="M47" s="675">
        <v>3562</v>
      </c>
      <c r="N47" s="307">
        <v>318260</v>
      </c>
      <c r="O47" s="307">
        <v>317764</v>
      </c>
      <c r="P47">
        <v>795430</v>
      </c>
    </row>
    <row r="48" spans="1:16">
      <c r="A48" s="69" t="s">
        <v>265</v>
      </c>
      <c r="B48" s="75" t="s">
        <v>244</v>
      </c>
      <c r="C48" s="73">
        <v>90366</v>
      </c>
      <c r="D48" s="675">
        <v>58157</v>
      </c>
      <c r="E48" s="675">
        <v>32209</v>
      </c>
      <c r="F48" s="675">
        <v>4343</v>
      </c>
      <c r="G48" s="675">
        <v>26</v>
      </c>
      <c r="H48" s="307">
        <v>53814</v>
      </c>
      <c r="I48" s="307">
        <v>32183</v>
      </c>
      <c r="J48" s="675">
        <v>283023</v>
      </c>
      <c r="K48" s="675">
        <v>151522</v>
      </c>
      <c r="L48" s="675">
        <v>113678</v>
      </c>
      <c r="M48" s="675">
        <v>615</v>
      </c>
      <c r="N48" s="307">
        <v>169345</v>
      </c>
      <c r="O48" s="307">
        <v>150907</v>
      </c>
      <c r="P48">
        <v>434545</v>
      </c>
    </row>
    <row r="49" spans="1:23">
      <c r="A49" s="69" t="s">
        <v>266</v>
      </c>
      <c r="B49" s="75" t="s">
        <v>245</v>
      </c>
      <c r="C49" s="73">
        <v>126292</v>
      </c>
      <c r="D49" s="675">
        <v>83699</v>
      </c>
      <c r="E49" s="675">
        <v>42593</v>
      </c>
      <c r="F49" s="675">
        <v>1727</v>
      </c>
      <c r="G49" s="675">
        <v>17</v>
      </c>
      <c r="H49" s="307">
        <v>81972</v>
      </c>
      <c r="I49" s="307">
        <v>42576</v>
      </c>
      <c r="J49" s="675">
        <v>213223</v>
      </c>
      <c r="K49" s="675">
        <v>56832</v>
      </c>
      <c r="L49" s="675">
        <v>72093</v>
      </c>
      <c r="M49" s="675">
        <v>398</v>
      </c>
      <c r="N49" s="307">
        <v>141130</v>
      </c>
      <c r="O49" s="307">
        <v>56434</v>
      </c>
      <c r="P49">
        <v>270055</v>
      </c>
    </row>
    <row r="50" spans="1:23">
      <c r="A50" s="69" t="s">
        <v>267</v>
      </c>
      <c r="B50" s="75" t="s">
        <v>246</v>
      </c>
      <c r="C50" s="73">
        <v>68411</v>
      </c>
      <c r="D50" s="675">
        <v>42336</v>
      </c>
      <c r="E50" s="675">
        <v>26075</v>
      </c>
      <c r="F50" s="675">
        <v>1345</v>
      </c>
      <c r="G50" s="675">
        <v>15</v>
      </c>
      <c r="H50" s="307">
        <v>40991</v>
      </c>
      <c r="I50" s="307">
        <v>26060</v>
      </c>
      <c r="J50" s="675">
        <v>121231</v>
      </c>
      <c r="K50" s="675">
        <v>55506</v>
      </c>
      <c r="L50" s="675">
        <v>45086</v>
      </c>
      <c r="M50" s="675">
        <v>621</v>
      </c>
      <c r="N50" s="307">
        <v>76145</v>
      </c>
      <c r="O50" s="307">
        <v>54885</v>
      </c>
      <c r="P50">
        <v>176737</v>
      </c>
    </row>
    <row r="51" spans="1:23" ht="15.75" customHeight="1">
      <c r="A51" s="69" t="s">
        <v>69</v>
      </c>
      <c r="B51" s="75" t="s">
        <v>70</v>
      </c>
      <c r="C51" s="73">
        <v>85541</v>
      </c>
      <c r="D51" s="675">
        <v>52113</v>
      </c>
      <c r="E51" s="675">
        <v>33428</v>
      </c>
      <c r="F51" s="675">
        <v>1367</v>
      </c>
      <c r="G51" s="675">
        <v>36</v>
      </c>
      <c r="H51" s="307">
        <v>50746</v>
      </c>
      <c r="I51" s="307">
        <v>33392</v>
      </c>
      <c r="J51" s="675">
        <v>250306</v>
      </c>
      <c r="K51" s="675">
        <v>109706</v>
      </c>
      <c r="L51" s="675">
        <v>92822</v>
      </c>
      <c r="M51" s="675">
        <v>2665</v>
      </c>
      <c r="N51" s="307">
        <v>157484</v>
      </c>
      <c r="O51" s="307">
        <v>107041</v>
      </c>
      <c r="P51">
        <v>360012</v>
      </c>
    </row>
    <row r="52" spans="1:23">
      <c r="A52" s="75" t="s">
        <v>73</v>
      </c>
      <c r="B52" s="75" t="s">
        <v>74</v>
      </c>
      <c r="C52" s="73">
        <v>370991</v>
      </c>
      <c r="D52" s="675">
        <v>220905</v>
      </c>
      <c r="E52" s="675">
        <v>150086</v>
      </c>
      <c r="F52" s="675">
        <v>10747</v>
      </c>
      <c r="G52" s="675">
        <v>106</v>
      </c>
      <c r="H52" s="307">
        <v>210158</v>
      </c>
      <c r="I52" s="307">
        <v>149980</v>
      </c>
      <c r="J52" s="675">
        <v>729318</v>
      </c>
      <c r="K52" s="675">
        <v>350999</v>
      </c>
      <c r="L52" s="675">
        <v>268439</v>
      </c>
      <c r="M52" s="675">
        <v>3864</v>
      </c>
      <c r="N52" s="307">
        <v>460879</v>
      </c>
      <c r="O52" s="307">
        <v>347135</v>
      </c>
      <c r="P52">
        <v>1080317</v>
      </c>
    </row>
    <row r="53" spans="1:23">
      <c r="A53" s="71" t="s">
        <v>1413</v>
      </c>
      <c r="B53" s="75" t="s">
        <v>1406</v>
      </c>
      <c r="C53" s="73">
        <v>616513</v>
      </c>
      <c r="D53" s="675">
        <v>363702</v>
      </c>
      <c r="E53" s="675">
        <v>252811</v>
      </c>
      <c r="F53" s="675">
        <v>20585</v>
      </c>
      <c r="G53" s="675">
        <v>226</v>
      </c>
      <c r="H53" s="307">
        <v>343117</v>
      </c>
      <c r="I53" s="307">
        <v>252585</v>
      </c>
      <c r="J53" s="675">
        <v>1266445</v>
      </c>
      <c r="K53" s="675">
        <v>591400</v>
      </c>
      <c r="L53" s="675">
        <v>485635</v>
      </c>
      <c r="M53" s="675">
        <v>5591</v>
      </c>
      <c r="N53" s="307">
        <v>780810</v>
      </c>
      <c r="O53" s="307">
        <v>585809</v>
      </c>
      <c r="P53">
        <v>1857845</v>
      </c>
    </row>
    <row r="54" spans="1:23">
      <c r="A54" s="69" t="s">
        <v>75</v>
      </c>
      <c r="B54" s="75" t="s">
        <v>1141</v>
      </c>
      <c r="C54" s="73">
        <v>6370660</v>
      </c>
      <c r="D54" s="675">
        <v>3806746</v>
      </c>
      <c r="E54" s="675">
        <v>2563914</v>
      </c>
      <c r="F54" s="675">
        <v>190756</v>
      </c>
      <c r="G54" s="675">
        <v>2431</v>
      </c>
      <c r="H54" s="307">
        <v>3615990</v>
      </c>
      <c r="I54" s="307">
        <v>2561483</v>
      </c>
      <c r="J54" s="675">
        <v>14476868</v>
      </c>
      <c r="K54" s="675">
        <v>7757907</v>
      </c>
      <c r="L54" s="675">
        <v>5198343</v>
      </c>
      <c r="M54" s="675">
        <v>84862</v>
      </c>
      <c r="N54" s="307">
        <v>9278525</v>
      </c>
      <c r="O54" s="307">
        <v>7673045</v>
      </c>
      <c r="P54">
        <v>22234775</v>
      </c>
    </row>
    <row r="56" spans="1:23">
      <c r="A56" s="83" t="s">
        <v>1718</v>
      </c>
      <c r="B56" s="144"/>
      <c r="C56" s="81"/>
      <c r="D56" s="81"/>
      <c r="E56" s="81"/>
      <c r="F56" s="81"/>
      <c r="G56" s="81"/>
      <c r="H56" s="81"/>
      <c r="I56" s="81"/>
      <c r="J56" s="81"/>
      <c r="K56" s="81"/>
    </row>
    <row r="58" spans="1:23" s="55" customFormat="1" ht="75">
      <c r="A58" s="55" t="s">
        <v>251</v>
      </c>
      <c r="B58" s="55" t="s">
        <v>252</v>
      </c>
      <c r="C58" s="671" t="s">
        <v>1720</v>
      </c>
      <c r="D58" s="55" t="s">
        <v>454</v>
      </c>
      <c r="E58" s="55" t="s">
        <v>812</v>
      </c>
      <c r="F58" s="55" t="s">
        <v>277</v>
      </c>
      <c r="G58" s="55" t="s">
        <v>813</v>
      </c>
      <c r="H58" s="55" t="s">
        <v>419</v>
      </c>
      <c r="I58" s="55" t="s">
        <v>280</v>
      </c>
      <c r="J58" s="55" t="s">
        <v>281</v>
      </c>
      <c r="K58" s="55" t="s">
        <v>282</v>
      </c>
      <c r="L58" s="55" t="s">
        <v>283</v>
      </c>
      <c r="M58" s="55" t="s">
        <v>420</v>
      </c>
      <c r="N58" s="55" t="s">
        <v>421</v>
      </c>
      <c r="O58" s="55" t="s">
        <v>286</v>
      </c>
      <c r="R58" s="146" t="s">
        <v>412</v>
      </c>
      <c r="S58" s="146" t="s">
        <v>413</v>
      </c>
      <c r="T58" s="146" t="s">
        <v>414</v>
      </c>
      <c r="U58" s="146" t="s">
        <v>415</v>
      </c>
      <c r="V58" s="146" t="s">
        <v>416</v>
      </c>
      <c r="W58" s="146" t="s">
        <v>417</v>
      </c>
    </row>
    <row r="59" spans="1:23">
      <c r="A59">
        <v>59</v>
      </c>
      <c r="B59" s="124" t="s">
        <v>89</v>
      </c>
      <c r="C59" s="161">
        <v>159954</v>
      </c>
      <c r="D59">
        <v>5826</v>
      </c>
      <c r="E59">
        <v>18309</v>
      </c>
      <c r="F59">
        <v>11913</v>
      </c>
      <c r="G59">
        <v>27304</v>
      </c>
      <c r="H59">
        <v>10745</v>
      </c>
      <c r="I59">
        <v>6946</v>
      </c>
      <c r="J59">
        <v>1650</v>
      </c>
      <c r="K59">
        <v>4196</v>
      </c>
      <c r="L59">
        <v>1562</v>
      </c>
      <c r="M59">
        <v>12710</v>
      </c>
      <c r="N59">
        <v>53019</v>
      </c>
      <c r="O59">
        <v>5774</v>
      </c>
      <c r="R59" s="147">
        <v>2670</v>
      </c>
      <c r="S59" s="147">
        <v>5828</v>
      </c>
      <c r="T59" s="147">
        <v>0</v>
      </c>
      <c r="U59" s="147">
        <v>374</v>
      </c>
      <c r="V59" s="147">
        <v>476</v>
      </c>
      <c r="W59" s="147">
        <v>8961</v>
      </c>
    </row>
    <row r="60" spans="1:23">
      <c r="A60">
        <v>7204</v>
      </c>
      <c r="B60" s="124" t="s">
        <v>6</v>
      </c>
      <c r="C60" s="161">
        <v>476880</v>
      </c>
      <c r="D60">
        <v>10667</v>
      </c>
      <c r="E60">
        <v>49688</v>
      </c>
      <c r="F60">
        <v>30276</v>
      </c>
      <c r="G60">
        <v>64589</v>
      </c>
      <c r="H60">
        <v>31195</v>
      </c>
      <c r="I60">
        <v>19663</v>
      </c>
      <c r="J60">
        <v>17203</v>
      </c>
      <c r="K60">
        <v>21250</v>
      </c>
      <c r="L60">
        <v>5539</v>
      </c>
      <c r="M60">
        <v>55150</v>
      </c>
      <c r="N60">
        <v>156371</v>
      </c>
      <c r="O60">
        <v>15289</v>
      </c>
      <c r="R60" s="147">
        <v>9959</v>
      </c>
      <c r="S60" s="147">
        <v>7049</v>
      </c>
      <c r="T60" s="147">
        <v>0</v>
      </c>
      <c r="U60" s="147">
        <v>6342</v>
      </c>
      <c r="V60" s="147">
        <v>8631</v>
      </c>
      <c r="W60" s="147">
        <v>17707</v>
      </c>
    </row>
    <row r="61" spans="1:23">
      <c r="A61">
        <v>3122</v>
      </c>
      <c r="B61" s="124" t="s">
        <v>1076</v>
      </c>
      <c r="C61" s="161">
        <v>97919</v>
      </c>
      <c r="D61">
        <v>94</v>
      </c>
      <c r="E61">
        <v>10661</v>
      </c>
      <c r="F61">
        <v>7653</v>
      </c>
      <c r="G61">
        <v>14876</v>
      </c>
      <c r="H61">
        <v>8729</v>
      </c>
      <c r="I61">
        <v>3407</v>
      </c>
      <c r="J61">
        <v>1122</v>
      </c>
      <c r="K61">
        <v>1735</v>
      </c>
      <c r="L61">
        <v>888</v>
      </c>
      <c r="M61">
        <v>10252</v>
      </c>
      <c r="N61">
        <v>35838</v>
      </c>
      <c r="O61">
        <v>2664</v>
      </c>
      <c r="R61" s="147">
        <v>2007</v>
      </c>
      <c r="S61" s="147">
        <v>2191</v>
      </c>
      <c r="T61" s="147">
        <v>93</v>
      </c>
      <c r="U61" s="147">
        <v>715</v>
      </c>
      <c r="V61" s="147">
        <v>1200</v>
      </c>
      <c r="W61" s="147">
        <v>4455</v>
      </c>
    </row>
    <row r="62" spans="1:23">
      <c r="A62">
        <v>8210</v>
      </c>
      <c r="B62" s="124" t="s">
        <v>8</v>
      </c>
      <c r="C62" s="161">
        <v>301074</v>
      </c>
      <c r="D62">
        <v>1104</v>
      </c>
      <c r="E62">
        <v>53016</v>
      </c>
      <c r="F62">
        <v>16851</v>
      </c>
      <c r="G62">
        <v>34312</v>
      </c>
      <c r="H62">
        <v>12966</v>
      </c>
      <c r="I62">
        <v>11443</v>
      </c>
      <c r="J62">
        <v>12063</v>
      </c>
      <c r="K62">
        <v>7968</v>
      </c>
      <c r="L62">
        <v>2914</v>
      </c>
      <c r="M62">
        <v>39018</v>
      </c>
      <c r="N62">
        <v>100117</v>
      </c>
      <c r="O62">
        <v>9302</v>
      </c>
      <c r="R62" s="147">
        <v>5520</v>
      </c>
      <c r="S62" s="147">
        <v>3358</v>
      </c>
      <c r="T62" s="147">
        <v>127</v>
      </c>
      <c r="U62" s="147">
        <v>23111</v>
      </c>
      <c r="V62" s="147">
        <v>445</v>
      </c>
      <c r="W62" s="147">
        <v>20455</v>
      </c>
    </row>
    <row r="63" spans="1:23">
      <c r="A63">
        <v>3111</v>
      </c>
      <c r="B63" s="124" t="s">
        <v>10</v>
      </c>
      <c r="C63" s="161">
        <v>377654</v>
      </c>
      <c r="D63">
        <v>1171</v>
      </c>
      <c r="E63">
        <v>27600</v>
      </c>
      <c r="F63">
        <v>18620</v>
      </c>
      <c r="G63">
        <v>51463</v>
      </c>
      <c r="H63">
        <v>22948</v>
      </c>
      <c r="I63">
        <v>13312</v>
      </c>
      <c r="J63">
        <v>17874</v>
      </c>
      <c r="K63">
        <v>19797</v>
      </c>
      <c r="L63">
        <v>3658</v>
      </c>
      <c r="M63">
        <v>51170</v>
      </c>
      <c r="N63">
        <v>138595</v>
      </c>
      <c r="O63">
        <v>11446</v>
      </c>
      <c r="R63" s="147">
        <v>5361</v>
      </c>
      <c r="S63" s="147">
        <v>5246</v>
      </c>
      <c r="T63" s="147">
        <v>106</v>
      </c>
      <c r="U63" s="147">
        <v>3180</v>
      </c>
      <c r="V63" s="147">
        <v>491</v>
      </c>
      <c r="W63" s="147">
        <v>13216</v>
      </c>
    </row>
    <row r="64" spans="1:23">
      <c r="A64">
        <v>8214</v>
      </c>
      <c r="B64" s="124" t="s">
        <v>12</v>
      </c>
      <c r="C64" s="161">
        <v>787549</v>
      </c>
      <c r="D64">
        <v>1469</v>
      </c>
      <c r="E64">
        <v>111747</v>
      </c>
      <c r="F64">
        <v>46099</v>
      </c>
      <c r="G64">
        <v>103405</v>
      </c>
      <c r="H64">
        <v>51627</v>
      </c>
      <c r="I64">
        <v>31558</v>
      </c>
      <c r="J64">
        <v>36587</v>
      </c>
      <c r="K64">
        <v>30545</v>
      </c>
      <c r="L64">
        <v>9280</v>
      </c>
      <c r="M64">
        <v>114027</v>
      </c>
      <c r="N64">
        <v>225054</v>
      </c>
      <c r="O64">
        <v>26151</v>
      </c>
      <c r="R64" s="147">
        <v>14396</v>
      </c>
      <c r="S64" s="147">
        <v>9191</v>
      </c>
      <c r="T64" s="147">
        <v>1016</v>
      </c>
      <c r="U64" s="147">
        <v>18529</v>
      </c>
      <c r="V64" s="147">
        <v>8990</v>
      </c>
      <c r="W64" s="147">
        <v>59625</v>
      </c>
    </row>
    <row r="65" spans="1:23">
      <c r="A65">
        <v>9310</v>
      </c>
      <c r="B65" s="124" t="s">
        <v>54</v>
      </c>
      <c r="C65" s="161">
        <v>475033</v>
      </c>
      <c r="D65">
        <v>773</v>
      </c>
      <c r="E65">
        <v>45169</v>
      </c>
      <c r="F65">
        <v>24354</v>
      </c>
      <c r="G65">
        <v>61433</v>
      </c>
      <c r="H65">
        <v>39004</v>
      </c>
      <c r="I65">
        <v>20298</v>
      </c>
      <c r="J65">
        <v>10369</v>
      </c>
      <c r="K65">
        <v>16836</v>
      </c>
      <c r="L65">
        <v>6460</v>
      </c>
      <c r="M65">
        <v>60174</v>
      </c>
      <c r="N65">
        <v>171934</v>
      </c>
      <c r="O65">
        <v>18229</v>
      </c>
      <c r="R65" s="147">
        <v>9819</v>
      </c>
      <c r="S65" s="147">
        <v>6272</v>
      </c>
      <c r="T65" s="147">
        <v>510</v>
      </c>
      <c r="U65" s="147">
        <v>3649</v>
      </c>
      <c r="V65" s="147">
        <v>9970</v>
      </c>
      <c r="W65" s="147">
        <v>14949</v>
      </c>
    </row>
    <row r="66" spans="1:23">
      <c r="A66">
        <v>9111</v>
      </c>
      <c r="B66" s="124" t="s">
        <v>15</v>
      </c>
      <c r="C66" s="161">
        <v>245754</v>
      </c>
      <c r="D66">
        <v>1773</v>
      </c>
      <c r="E66">
        <v>14772</v>
      </c>
      <c r="F66">
        <v>13596</v>
      </c>
      <c r="G66">
        <v>34178</v>
      </c>
      <c r="H66">
        <v>11466</v>
      </c>
      <c r="I66">
        <v>12140</v>
      </c>
      <c r="J66">
        <v>11020</v>
      </c>
      <c r="K66">
        <v>8286</v>
      </c>
      <c r="L66">
        <v>3156</v>
      </c>
      <c r="M66">
        <v>32131</v>
      </c>
      <c r="N66">
        <v>92624</v>
      </c>
      <c r="O66">
        <v>10612</v>
      </c>
      <c r="R66" s="147">
        <v>4515</v>
      </c>
      <c r="S66" s="147">
        <v>2365</v>
      </c>
      <c r="T66" s="147">
        <v>0</v>
      </c>
      <c r="U66" s="147">
        <v>2313</v>
      </c>
      <c r="V66" s="147">
        <v>175</v>
      </c>
      <c r="W66" s="147">
        <v>5404</v>
      </c>
    </row>
    <row r="67" spans="1:23">
      <c r="A67">
        <v>5203</v>
      </c>
      <c r="B67" s="124" t="s">
        <v>17</v>
      </c>
      <c r="C67" s="161">
        <v>417639</v>
      </c>
      <c r="D67">
        <v>4564</v>
      </c>
      <c r="E67">
        <v>53833</v>
      </c>
      <c r="F67">
        <v>27724</v>
      </c>
      <c r="G67">
        <v>56629</v>
      </c>
      <c r="H67">
        <v>25954</v>
      </c>
      <c r="I67">
        <v>12708</v>
      </c>
      <c r="J67">
        <v>22810</v>
      </c>
      <c r="K67">
        <v>18717</v>
      </c>
      <c r="L67">
        <v>3709</v>
      </c>
      <c r="M67">
        <v>52289</v>
      </c>
      <c r="N67">
        <v>124596</v>
      </c>
      <c r="O67">
        <v>14106</v>
      </c>
      <c r="R67" s="147">
        <v>7613</v>
      </c>
      <c r="S67" s="147">
        <v>11537</v>
      </c>
      <c r="T67" s="147">
        <v>67</v>
      </c>
      <c r="U67" s="147">
        <v>6569</v>
      </c>
      <c r="V67" s="147">
        <v>4857</v>
      </c>
      <c r="W67" s="147">
        <v>23190</v>
      </c>
    </row>
    <row r="68" spans="1:23">
      <c r="A68">
        <v>9307</v>
      </c>
      <c r="B68" s="124" t="s">
        <v>19</v>
      </c>
      <c r="C68" s="161">
        <v>212471</v>
      </c>
      <c r="D68">
        <v>461</v>
      </c>
      <c r="E68">
        <v>15188</v>
      </c>
      <c r="F68">
        <v>13446</v>
      </c>
      <c r="G68">
        <v>31470</v>
      </c>
      <c r="H68">
        <v>13211</v>
      </c>
      <c r="I68">
        <v>15170</v>
      </c>
      <c r="J68">
        <v>2817</v>
      </c>
      <c r="K68">
        <v>6560</v>
      </c>
      <c r="L68">
        <v>3302</v>
      </c>
      <c r="M68">
        <v>22570</v>
      </c>
      <c r="N68">
        <v>79461</v>
      </c>
      <c r="O68">
        <v>8815</v>
      </c>
      <c r="R68" s="147">
        <v>3559</v>
      </c>
      <c r="S68" s="147">
        <v>2483</v>
      </c>
      <c r="T68" s="147">
        <v>0</v>
      </c>
      <c r="U68" s="147">
        <v>1438</v>
      </c>
      <c r="V68" s="147">
        <v>78</v>
      </c>
      <c r="W68" s="147">
        <v>7630</v>
      </c>
    </row>
    <row r="69" spans="1:23">
      <c r="A69">
        <v>5312</v>
      </c>
      <c r="B69" s="124" t="s">
        <v>21</v>
      </c>
      <c r="C69" s="161">
        <v>299912</v>
      </c>
      <c r="D69">
        <v>2977</v>
      </c>
      <c r="E69">
        <v>39343</v>
      </c>
      <c r="F69">
        <v>19164</v>
      </c>
      <c r="G69">
        <v>36934</v>
      </c>
      <c r="H69">
        <v>20462</v>
      </c>
      <c r="I69">
        <v>8996</v>
      </c>
      <c r="J69">
        <v>16944</v>
      </c>
      <c r="K69">
        <v>10315</v>
      </c>
      <c r="L69">
        <v>2527</v>
      </c>
      <c r="M69">
        <v>33429</v>
      </c>
      <c r="N69">
        <v>99107</v>
      </c>
      <c r="O69">
        <v>9714</v>
      </c>
      <c r="R69" s="147">
        <v>3779</v>
      </c>
      <c r="S69" s="147">
        <v>13512</v>
      </c>
      <c r="T69" s="147">
        <v>0</v>
      </c>
      <c r="U69" s="147">
        <v>5724</v>
      </c>
      <c r="V69" s="147">
        <v>5254</v>
      </c>
      <c r="W69" s="147">
        <v>11074</v>
      </c>
    </row>
    <row r="70" spans="1:23">
      <c r="A70">
        <v>2307</v>
      </c>
      <c r="B70" s="124" t="s">
        <v>23</v>
      </c>
      <c r="C70" s="161">
        <v>285837</v>
      </c>
      <c r="D70">
        <v>1719</v>
      </c>
      <c r="E70">
        <v>45561</v>
      </c>
      <c r="F70">
        <v>19112</v>
      </c>
      <c r="G70">
        <v>35536</v>
      </c>
      <c r="H70">
        <v>19330</v>
      </c>
      <c r="I70">
        <v>8977</v>
      </c>
      <c r="J70">
        <v>4412</v>
      </c>
      <c r="K70">
        <v>10721</v>
      </c>
      <c r="L70">
        <v>3384</v>
      </c>
      <c r="M70">
        <v>26182</v>
      </c>
      <c r="N70">
        <v>101622</v>
      </c>
      <c r="O70">
        <v>9281</v>
      </c>
      <c r="R70" s="147">
        <v>4865</v>
      </c>
      <c r="S70" s="147">
        <v>5878</v>
      </c>
      <c r="T70" s="147">
        <v>239</v>
      </c>
      <c r="U70" s="147">
        <v>4927</v>
      </c>
      <c r="V70" s="147">
        <v>5733</v>
      </c>
      <c r="W70" s="147">
        <v>23919</v>
      </c>
    </row>
    <row r="71" spans="1:23">
      <c r="A71">
        <v>4205</v>
      </c>
      <c r="B71" s="124" t="s">
        <v>25</v>
      </c>
      <c r="C71" s="161">
        <v>258824</v>
      </c>
      <c r="D71">
        <v>819</v>
      </c>
      <c r="E71">
        <v>27469</v>
      </c>
      <c r="F71">
        <v>12540</v>
      </c>
      <c r="G71">
        <v>39579</v>
      </c>
      <c r="H71">
        <v>16757</v>
      </c>
      <c r="I71">
        <v>11946</v>
      </c>
      <c r="J71">
        <v>8594</v>
      </c>
      <c r="K71">
        <v>12784</v>
      </c>
      <c r="L71">
        <v>2669</v>
      </c>
      <c r="M71">
        <v>32501</v>
      </c>
      <c r="N71">
        <v>84540</v>
      </c>
      <c r="O71">
        <v>8626</v>
      </c>
      <c r="R71" s="147">
        <v>4049</v>
      </c>
      <c r="S71" s="147">
        <v>6911</v>
      </c>
      <c r="T71" s="147">
        <v>16</v>
      </c>
      <c r="U71" s="147">
        <v>4516</v>
      </c>
      <c r="V71" s="147">
        <v>1388</v>
      </c>
      <c r="W71" s="147">
        <v>10589</v>
      </c>
    </row>
    <row r="72" spans="1:23">
      <c r="A72">
        <v>9315</v>
      </c>
      <c r="B72" s="124" t="s">
        <v>55</v>
      </c>
      <c r="C72" s="161">
        <v>169464</v>
      </c>
      <c r="D72">
        <v>1816</v>
      </c>
      <c r="E72">
        <v>12559</v>
      </c>
      <c r="F72">
        <v>10689</v>
      </c>
      <c r="G72">
        <v>26267</v>
      </c>
      <c r="H72">
        <v>7983</v>
      </c>
      <c r="I72">
        <v>8445</v>
      </c>
      <c r="J72">
        <v>2407</v>
      </c>
      <c r="K72">
        <v>4496</v>
      </c>
      <c r="L72">
        <v>2638</v>
      </c>
      <c r="M72">
        <v>14921</v>
      </c>
      <c r="N72">
        <v>70629</v>
      </c>
      <c r="O72">
        <v>6614</v>
      </c>
      <c r="R72" s="147">
        <v>3061</v>
      </c>
      <c r="S72" s="147">
        <v>2496</v>
      </c>
      <c r="T72" s="147">
        <v>0</v>
      </c>
      <c r="U72" s="147">
        <v>862</v>
      </c>
      <c r="V72" s="147">
        <v>2881</v>
      </c>
      <c r="W72" s="147">
        <v>3259</v>
      </c>
    </row>
    <row r="73" spans="1:23">
      <c r="A73">
        <v>61</v>
      </c>
      <c r="B73" s="124" t="s">
        <v>27</v>
      </c>
      <c r="C73" s="161">
        <v>554440</v>
      </c>
      <c r="D73">
        <v>2311</v>
      </c>
      <c r="E73">
        <v>78942</v>
      </c>
      <c r="F73">
        <v>33725</v>
      </c>
      <c r="G73">
        <v>65340</v>
      </c>
      <c r="H73">
        <v>32416</v>
      </c>
      <c r="I73">
        <v>19736</v>
      </c>
      <c r="J73">
        <v>26854</v>
      </c>
      <c r="K73">
        <v>16775</v>
      </c>
      <c r="L73">
        <v>5512</v>
      </c>
      <c r="M73">
        <v>82186</v>
      </c>
      <c r="N73">
        <v>172124</v>
      </c>
      <c r="O73">
        <v>18519</v>
      </c>
      <c r="R73" s="147">
        <v>8100</v>
      </c>
      <c r="S73" s="147">
        <v>6948</v>
      </c>
      <c r="T73" s="147">
        <v>27</v>
      </c>
      <c r="U73" s="147">
        <v>7850</v>
      </c>
      <c r="V73" s="147">
        <v>34533</v>
      </c>
      <c r="W73" s="147">
        <v>21484</v>
      </c>
    </row>
    <row r="74" spans="1:23">
      <c r="A74">
        <v>2</v>
      </c>
      <c r="B74" s="124" t="s">
        <v>29</v>
      </c>
      <c r="C74" s="161">
        <v>913597</v>
      </c>
      <c r="D74">
        <v>2819</v>
      </c>
      <c r="E74">
        <v>138545</v>
      </c>
      <c r="F74">
        <v>54993</v>
      </c>
      <c r="G74">
        <v>125843</v>
      </c>
      <c r="H74">
        <v>63935</v>
      </c>
      <c r="I74">
        <v>35773</v>
      </c>
      <c r="J74">
        <v>37692</v>
      </c>
      <c r="K74">
        <v>33170</v>
      </c>
      <c r="L74">
        <v>10361</v>
      </c>
      <c r="M74">
        <v>125444</v>
      </c>
      <c r="N74">
        <v>255445</v>
      </c>
      <c r="O74">
        <v>29577</v>
      </c>
      <c r="R74" s="147">
        <v>18758</v>
      </c>
      <c r="S74" s="147">
        <v>11844</v>
      </c>
      <c r="T74" s="147">
        <v>1016</v>
      </c>
      <c r="U74" s="147">
        <v>23364</v>
      </c>
      <c r="V74" s="147">
        <v>9785</v>
      </c>
      <c r="W74" s="147">
        <v>73778</v>
      </c>
    </row>
    <row r="75" spans="1:23">
      <c r="A75">
        <v>3</v>
      </c>
      <c r="B75" s="124" t="s">
        <v>59</v>
      </c>
      <c r="C75" s="161">
        <v>647630</v>
      </c>
      <c r="D75">
        <v>1874</v>
      </c>
      <c r="E75">
        <v>67261</v>
      </c>
      <c r="F75">
        <v>35445</v>
      </c>
      <c r="G75">
        <v>83861</v>
      </c>
      <c r="H75">
        <v>49125</v>
      </c>
      <c r="I75">
        <v>26708</v>
      </c>
      <c r="J75">
        <v>19131</v>
      </c>
      <c r="K75">
        <v>22622</v>
      </c>
      <c r="L75">
        <v>8218</v>
      </c>
      <c r="M75">
        <v>85329</v>
      </c>
      <c r="N75">
        <v>223933</v>
      </c>
      <c r="O75">
        <v>24123</v>
      </c>
      <c r="R75" s="147">
        <v>13581</v>
      </c>
      <c r="S75" s="147">
        <v>8402</v>
      </c>
      <c r="T75" s="147">
        <v>1487</v>
      </c>
      <c r="U75" s="147">
        <v>7962</v>
      </c>
      <c r="V75" s="147">
        <v>10785</v>
      </c>
      <c r="W75" s="147">
        <v>25044</v>
      </c>
    </row>
    <row r="76" spans="1:23">
      <c r="A76">
        <v>4</v>
      </c>
      <c r="B76" s="124" t="s">
        <v>32</v>
      </c>
      <c r="C76" s="161">
        <v>522307</v>
      </c>
      <c r="D76">
        <v>1536</v>
      </c>
      <c r="E76">
        <v>72229</v>
      </c>
      <c r="F76">
        <v>31434</v>
      </c>
      <c r="G76">
        <v>60509</v>
      </c>
      <c r="H76">
        <v>31066</v>
      </c>
      <c r="I76">
        <v>18744</v>
      </c>
      <c r="J76">
        <v>26763</v>
      </c>
      <c r="K76">
        <v>16184</v>
      </c>
      <c r="L76">
        <v>5353</v>
      </c>
      <c r="M76">
        <v>80814</v>
      </c>
      <c r="N76">
        <v>159979</v>
      </c>
      <c r="O76">
        <v>17696</v>
      </c>
      <c r="R76" s="147">
        <v>7535</v>
      </c>
      <c r="S76" s="147">
        <v>4701</v>
      </c>
      <c r="T76" s="147">
        <v>26</v>
      </c>
      <c r="U76" s="147">
        <v>7743</v>
      </c>
      <c r="V76" s="147">
        <v>34140</v>
      </c>
      <c r="W76" s="147">
        <v>18084</v>
      </c>
    </row>
    <row r="77" spans="1:23">
      <c r="A77">
        <v>5</v>
      </c>
      <c r="B77" s="124" t="s">
        <v>34</v>
      </c>
      <c r="C77" s="161">
        <v>500724</v>
      </c>
      <c r="D77">
        <v>1922</v>
      </c>
      <c r="E77">
        <v>42137</v>
      </c>
      <c r="F77">
        <v>25045</v>
      </c>
      <c r="G77">
        <v>77879</v>
      </c>
      <c r="H77">
        <v>28586</v>
      </c>
      <c r="I77">
        <v>16334</v>
      </c>
      <c r="J77">
        <v>22648</v>
      </c>
      <c r="K77">
        <v>26093</v>
      </c>
      <c r="L77">
        <v>5130</v>
      </c>
      <c r="M77">
        <v>68253</v>
      </c>
      <c r="N77">
        <v>171529</v>
      </c>
      <c r="O77">
        <v>15168</v>
      </c>
      <c r="R77" s="147">
        <v>7067</v>
      </c>
      <c r="S77" s="147">
        <v>6999</v>
      </c>
      <c r="T77" s="147">
        <v>148</v>
      </c>
      <c r="U77" s="147">
        <v>3798</v>
      </c>
      <c r="V77" s="147">
        <v>745</v>
      </c>
      <c r="W77" s="147">
        <v>23380</v>
      </c>
    </row>
    <row r="78" spans="1:23">
      <c r="A78">
        <v>6</v>
      </c>
      <c r="B78" s="124" t="s">
        <v>61</v>
      </c>
      <c r="C78" s="161">
        <v>455631</v>
      </c>
      <c r="D78">
        <v>8290</v>
      </c>
      <c r="E78">
        <v>45868</v>
      </c>
      <c r="F78">
        <v>28825</v>
      </c>
      <c r="G78">
        <v>61942</v>
      </c>
      <c r="H78">
        <v>30535</v>
      </c>
      <c r="I78">
        <v>19263</v>
      </c>
      <c r="J78">
        <v>17083</v>
      </c>
      <c r="K78">
        <v>20848</v>
      </c>
      <c r="L78">
        <v>5476</v>
      </c>
      <c r="M78">
        <v>54015</v>
      </c>
      <c r="N78">
        <v>148574</v>
      </c>
      <c r="O78">
        <v>14912</v>
      </c>
      <c r="R78" s="147">
        <v>8161</v>
      </c>
      <c r="S78" s="147">
        <v>6263</v>
      </c>
      <c r="T78" s="147">
        <v>0</v>
      </c>
      <c r="U78" s="147">
        <v>6116</v>
      </c>
      <c r="V78" s="147">
        <v>8630</v>
      </c>
      <c r="W78" s="147">
        <v>16698</v>
      </c>
    </row>
    <row r="79" spans="1:23">
      <c r="A79">
        <v>7</v>
      </c>
      <c r="B79" s="124" t="s">
        <v>37</v>
      </c>
      <c r="C79" s="161">
        <v>356350</v>
      </c>
      <c r="D79">
        <v>747</v>
      </c>
      <c r="E79">
        <v>28563</v>
      </c>
      <c r="F79">
        <v>20789</v>
      </c>
      <c r="G79">
        <v>54302</v>
      </c>
      <c r="H79">
        <v>17725</v>
      </c>
      <c r="I79">
        <v>26954</v>
      </c>
      <c r="J79">
        <v>14390</v>
      </c>
      <c r="K79">
        <v>10026</v>
      </c>
      <c r="L79">
        <v>5741</v>
      </c>
      <c r="M79">
        <v>44265</v>
      </c>
      <c r="N79">
        <v>118623</v>
      </c>
      <c r="O79">
        <v>14225</v>
      </c>
      <c r="R79" s="147">
        <v>4927</v>
      </c>
      <c r="S79" s="147">
        <v>3938</v>
      </c>
      <c r="T79" s="147">
        <v>0</v>
      </c>
      <c r="U79" s="147">
        <v>3825</v>
      </c>
      <c r="V79" s="147">
        <v>2274</v>
      </c>
      <c r="W79" s="147">
        <v>13599</v>
      </c>
    </row>
    <row r="80" spans="1:23">
      <c r="A80">
        <v>8</v>
      </c>
      <c r="B80" s="124" t="s">
        <v>39</v>
      </c>
      <c r="C80" s="161">
        <v>376980</v>
      </c>
      <c r="D80">
        <v>3394</v>
      </c>
      <c r="E80">
        <v>41655</v>
      </c>
      <c r="F80">
        <v>23784</v>
      </c>
      <c r="G80">
        <v>50700</v>
      </c>
      <c r="H80">
        <v>24131</v>
      </c>
      <c r="I80">
        <v>11851</v>
      </c>
      <c r="J80">
        <v>22732</v>
      </c>
      <c r="K80">
        <v>17944</v>
      </c>
      <c r="L80">
        <v>3613</v>
      </c>
      <c r="M80">
        <v>49349</v>
      </c>
      <c r="N80">
        <v>114795</v>
      </c>
      <c r="O80">
        <v>13032</v>
      </c>
      <c r="R80" s="147">
        <v>7352</v>
      </c>
      <c r="S80" s="147">
        <v>7422</v>
      </c>
      <c r="T80" s="147">
        <v>67</v>
      </c>
      <c r="U80" s="147">
        <v>4286</v>
      </c>
      <c r="V80" s="147">
        <v>4275</v>
      </c>
      <c r="W80" s="147">
        <v>18253</v>
      </c>
    </row>
    <row r="81" spans="1:23">
      <c r="A81">
        <v>9</v>
      </c>
      <c r="B81" s="124" t="s">
        <v>41</v>
      </c>
      <c r="C81" s="161">
        <v>309708</v>
      </c>
      <c r="D81">
        <v>2228</v>
      </c>
      <c r="E81">
        <v>45303</v>
      </c>
      <c r="F81">
        <v>17172</v>
      </c>
      <c r="G81">
        <v>48290</v>
      </c>
      <c r="H81">
        <v>19293</v>
      </c>
      <c r="I81">
        <v>14444</v>
      </c>
      <c r="J81">
        <v>8882</v>
      </c>
      <c r="K81">
        <v>13528</v>
      </c>
      <c r="L81">
        <v>2929</v>
      </c>
      <c r="M81">
        <v>34931</v>
      </c>
      <c r="N81">
        <v>92753</v>
      </c>
      <c r="O81">
        <v>9955</v>
      </c>
      <c r="R81" s="147">
        <v>4602</v>
      </c>
      <c r="S81" s="147">
        <v>10864</v>
      </c>
      <c r="T81" s="147">
        <v>16</v>
      </c>
      <c r="U81" s="147">
        <v>10234</v>
      </c>
      <c r="V81" s="147">
        <v>4175</v>
      </c>
      <c r="W81" s="147">
        <v>15412</v>
      </c>
    </row>
    <row r="82" spans="1:23">
      <c r="A82">
        <v>10</v>
      </c>
      <c r="B82" s="124" t="s">
        <v>43</v>
      </c>
      <c r="C82" s="161">
        <v>268147</v>
      </c>
      <c r="D82">
        <v>674</v>
      </c>
      <c r="E82">
        <v>47116</v>
      </c>
      <c r="F82">
        <v>14342</v>
      </c>
      <c r="G82">
        <v>30050</v>
      </c>
      <c r="H82">
        <v>10408</v>
      </c>
      <c r="I82">
        <v>8495</v>
      </c>
      <c r="J82">
        <v>11971</v>
      </c>
      <c r="K82">
        <v>7410</v>
      </c>
      <c r="L82">
        <v>2702</v>
      </c>
      <c r="M82">
        <v>37239</v>
      </c>
      <c r="N82">
        <v>89535</v>
      </c>
      <c r="O82">
        <v>8205</v>
      </c>
      <c r="R82" s="147">
        <v>5166</v>
      </c>
      <c r="S82" s="147">
        <v>2370</v>
      </c>
      <c r="T82" s="147">
        <v>127</v>
      </c>
      <c r="U82" s="147">
        <v>22097</v>
      </c>
      <c r="V82" s="147">
        <v>200</v>
      </c>
      <c r="W82" s="147">
        <v>17156</v>
      </c>
    </row>
    <row r="83" spans="1:23">
      <c r="A83">
        <v>11</v>
      </c>
      <c r="B83" s="124" t="s">
        <v>45</v>
      </c>
      <c r="C83" s="161">
        <v>277820</v>
      </c>
      <c r="D83">
        <v>2391</v>
      </c>
      <c r="E83">
        <v>33150</v>
      </c>
      <c r="F83">
        <v>17324</v>
      </c>
      <c r="G83">
        <v>34165</v>
      </c>
      <c r="H83">
        <v>18513</v>
      </c>
      <c r="I83">
        <v>8545</v>
      </c>
      <c r="J83">
        <v>16923</v>
      </c>
      <c r="K83">
        <v>9973</v>
      </c>
      <c r="L83">
        <v>2485</v>
      </c>
      <c r="M83">
        <v>31612</v>
      </c>
      <c r="N83">
        <v>93492</v>
      </c>
      <c r="O83">
        <v>9247</v>
      </c>
      <c r="R83" s="147">
        <v>3454</v>
      </c>
      <c r="S83" s="147">
        <v>10901</v>
      </c>
      <c r="T83" s="147">
        <v>0</v>
      </c>
      <c r="U83" s="147">
        <v>4849</v>
      </c>
      <c r="V83" s="147">
        <v>5071</v>
      </c>
      <c r="W83" s="147">
        <v>8875</v>
      </c>
    </row>
    <row r="84" spans="1:23">
      <c r="A84">
        <v>12</v>
      </c>
      <c r="B84" s="124" t="s">
        <v>47</v>
      </c>
      <c r="C84" s="161">
        <v>234395</v>
      </c>
      <c r="D84">
        <v>971</v>
      </c>
      <c r="E84">
        <v>29592</v>
      </c>
      <c r="F84">
        <v>15484</v>
      </c>
      <c r="G84">
        <v>30193</v>
      </c>
      <c r="H84">
        <v>16845</v>
      </c>
      <c r="I84">
        <v>7471</v>
      </c>
      <c r="J84">
        <v>3894</v>
      </c>
      <c r="K84">
        <v>10010</v>
      </c>
      <c r="L84">
        <v>2992</v>
      </c>
      <c r="M84">
        <v>21965</v>
      </c>
      <c r="N84">
        <v>87091</v>
      </c>
      <c r="O84">
        <v>7887</v>
      </c>
      <c r="R84" s="147">
        <v>4372</v>
      </c>
      <c r="S84" s="147">
        <v>4321</v>
      </c>
      <c r="T84" s="147">
        <v>205</v>
      </c>
      <c r="U84" s="147">
        <v>3674</v>
      </c>
      <c r="V84" s="147">
        <v>4868</v>
      </c>
      <c r="W84" s="147">
        <v>12152</v>
      </c>
    </row>
    <row r="85" spans="1:23">
      <c r="A85">
        <v>13</v>
      </c>
      <c r="B85" s="124" t="s">
        <v>63</v>
      </c>
      <c r="C85" s="161">
        <v>169380</v>
      </c>
      <c r="D85">
        <v>1555</v>
      </c>
      <c r="E85">
        <v>13506</v>
      </c>
      <c r="F85">
        <v>10171</v>
      </c>
      <c r="G85">
        <v>25522</v>
      </c>
      <c r="H85">
        <v>7252</v>
      </c>
      <c r="I85">
        <v>8807</v>
      </c>
      <c r="J85">
        <v>2925</v>
      </c>
      <c r="K85">
        <v>4555</v>
      </c>
      <c r="L85">
        <v>2586</v>
      </c>
      <c r="M85">
        <v>16026</v>
      </c>
      <c r="N85">
        <v>69893</v>
      </c>
      <c r="O85">
        <v>6582</v>
      </c>
      <c r="R85" s="147">
        <v>2870</v>
      </c>
      <c r="S85" s="147">
        <v>2418</v>
      </c>
      <c r="T85" s="147">
        <v>0</v>
      </c>
      <c r="U85" s="147">
        <v>1062</v>
      </c>
      <c r="V85" s="147">
        <v>2928</v>
      </c>
      <c r="W85" s="147">
        <v>4228</v>
      </c>
    </row>
    <row r="86" spans="1:23">
      <c r="A86">
        <v>14</v>
      </c>
      <c r="B86" s="124" t="s">
        <v>64</v>
      </c>
      <c r="C86" s="161">
        <v>150532</v>
      </c>
      <c r="D86">
        <v>731</v>
      </c>
      <c r="E86">
        <v>21324</v>
      </c>
      <c r="F86">
        <v>10294</v>
      </c>
      <c r="G86">
        <v>20403</v>
      </c>
      <c r="H86">
        <v>12872</v>
      </c>
      <c r="I86">
        <v>4699</v>
      </c>
      <c r="J86">
        <v>1489</v>
      </c>
      <c r="K86">
        <v>2735</v>
      </c>
      <c r="L86">
        <v>1767</v>
      </c>
      <c r="M86">
        <v>13582</v>
      </c>
      <c r="N86">
        <v>56661</v>
      </c>
      <c r="O86">
        <v>3975</v>
      </c>
      <c r="R86" s="147">
        <v>3090</v>
      </c>
      <c r="S86" s="147">
        <v>3261</v>
      </c>
      <c r="T86" s="147">
        <v>111</v>
      </c>
      <c r="U86" s="147">
        <v>1232</v>
      </c>
      <c r="V86" s="147">
        <v>6671</v>
      </c>
      <c r="W86" s="147">
        <v>6959</v>
      </c>
    </row>
    <row r="87" spans="1:23">
      <c r="A87">
        <v>15</v>
      </c>
      <c r="B87" s="124" t="s">
        <v>49</v>
      </c>
      <c r="C87" s="161">
        <v>226315</v>
      </c>
      <c r="D87">
        <v>1420</v>
      </c>
      <c r="E87">
        <v>12790</v>
      </c>
      <c r="F87">
        <v>12480</v>
      </c>
      <c r="G87">
        <v>30507</v>
      </c>
      <c r="H87">
        <v>10221</v>
      </c>
      <c r="I87">
        <v>10553</v>
      </c>
      <c r="J87">
        <v>10816</v>
      </c>
      <c r="K87">
        <v>7761</v>
      </c>
      <c r="L87">
        <v>2875</v>
      </c>
      <c r="M87">
        <v>30501</v>
      </c>
      <c r="N87">
        <v>86732</v>
      </c>
      <c r="O87">
        <v>9659</v>
      </c>
      <c r="R87" s="147">
        <v>3951</v>
      </c>
      <c r="S87" s="147">
        <v>1956</v>
      </c>
      <c r="T87" s="147">
        <v>0</v>
      </c>
      <c r="U87" s="147">
        <v>2210</v>
      </c>
      <c r="V87" s="147">
        <v>76</v>
      </c>
      <c r="W87" s="147">
        <v>4597</v>
      </c>
    </row>
    <row r="88" spans="1:23">
      <c r="A88">
        <v>16</v>
      </c>
      <c r="B88" s="124" t="s">
        <v>65</v>
      </c>
      <c r="C88" s="161">
        <v>167114</v>
      </c>
      <c r="D88">
        <v>5201</v>
      </c>
      <c r="E88">
        <v>17177</v>
      </c>
      <c r="F88">
        <v>11091</v>
      </c>
      <c r="G88">
        <v>30070</v>
      </c>
      <c r="H88">
        <v>13154</v>
      </c>
      <c r="I88">
        <v>7117</v>
      </c>
      <c r="J88">
        <v>1895</v>
      </c>
      <c r="K88">
        <v>4172</v>
      </c>
      <c r="L88">
        <v>1768</v>
      </c>
      <c r="M88">
        <v>14248</v>
      </c>
      <c r="N88">
        <v>55256</v>
      </c>
      <c r="O88">
        <v>5965</v>
      </c>
      <c r="R88" s="147">
        <v>2639</v>
      </c>
      <c r="S88" s="147">
        <v>5640</v>
      </c>
      <c r="T88" s="147">
        <v>0</v>
      </c>
      <c r="U88" s="147">
        <v>567</v>
      </c>
      <c r="V88" s="147">
        <v>385</v>
      </c>
      <c r="W88" s="147">
        <v>7946</v>
      </c>
    </row>
    <row r="89" spans="1:23">
      <c r="A89">
        <v>6</v>
      </c>
      <c r="B89" s="124" t="s">
        <v>234</v>
      </c>
      <c r="C89" s="161">
        <v>372073</v>
      </c>
      <c r="D89">
        <v>760</v>
      </c>
      <c r="E89">
        <v>29129</v>
      </c>
      <c r="F89">
        <v>21692</v>
      </c>
      <c r="G89">
        <v>56227</v>
      </c>
      <c r="H89">
        <v>18626</v>
      </c>
      <c r="I89">
        <v>29163</v>
      </c>
      <c r="J89">
        <v>14465</v>
      </c>
      <c r="K89">
        <v>10342</v>
      </c>
      <c r="L89">
        <v>6139</v>
      </c>
      <c r="M89">
        <v>45387</v>
      </c>
      <c r="N89">
        <v>125208</v>
      </c>
      <c r="O89">
        <v>14935</v>
      </c>
      <c r="R89" s="147">
        <v>5103</v>
      </c>
      <c r="S89" s="147">
        <v>4182</v>
      </c>
      <c r="T89" s="147">
        <v>0</v>
      </c>
      <c r="U89" s="147">
        <v>3840</v>
      </c>
      <c r="V89" s="147">
        <v>2275</v>
      </c>
      <c r="W89" s="147">
        <v>13729</v>
      </c>
    </row>
    <row r="90" spans="1:23">
      <c r="A90">
        <v>13</v>
      </c>
      <c r="B90" s="124" t="s">
        <v>235</v>
      </c>
      <c r="C90" s="161">
        <v>730664</v>
      </c>
      <c r="D90">
        <v>4774</v>
      </c>
      <c r="E90">
        <v>76112</v>
      </c>
      <c r="F90">
        <v>41222</v>
      </c>
      <c r="G90">
        <v>97112</v>
      </c>
      <c r="H90">
        <v>55829</v>
      </c>
      <c r="I90">
        <v>30811</v>
      </c>
      <c r="J90">
        <v>20375</v>
      </c>
      <c r="K90">
        <v>24366</v>
      </c>
      <c r="L90">
        <v>8787</v>
      </c>
      <c r="M90">
        <v>96127</v>
      </c>
      <c r="N90">
        <v>248360</v>
      </c>
      <c r="O90">
        <v>26789</v>
      </c>
      <c r="R90" s="147">
        <v>14843</v>
      </c>
      <c r="S90" s="147">
        <v>10308</v>
      </c>
      <c r="T90" s="147">
        <v>1499</v>
      </c>
      <c r="U90" s="147">
        <v>8688</v>
      </c>
      <c r="V90" s="147">
        <v>10836</v>
      </c>
      <c r="W90" s="147">
        <v>29938</v>
      </c>
    </row>
    <row r="91" spans="1:23">
      <c r="A91">
        <v>31</v>
      </c>
      <c r="B91" s="124" t="s">
        <v>236</v>
      </c>
      <c r="C91" s="161">
        <v>531899</v>
      </c>
      <c r="D91">
        <v>1506</v>
      </c>
      <c r="E91">
        <v>73857</v>
      </c>
      <c r="F91">
        <v>31760</v>
      </c>
      <c r="G91">
        <v>61875</v>
      </c>
      <c r="H91">
        <v>31204</v>
      </c>
      <c r="I91">
        <v>19325</v>
      </c>
      <c r="J91">
        <v>26819</v>
      </c>
      <c r="K91">
        <v>16431</v>
      </c>
      <c r="L91">
        <v>5410</v>
      </c>
      <c r="M91">
        <v>80775</v>
      </c>
      <c r="N91">
        <v>164850</v>
      </c>
      <c r="O91">
        <v>18087</v>
      </c>
      <c r="R91" s="147">
        <v>7897</v>
      </c>
      <c r="S91" s="147">
        <v>5531</v>
      </c>
      <c r="T91" s="147">
        <v>27</v>
      </c>
      <c r="U91" s="147">
        <v>7991</v>
      </c>
      <c r="V91" s="147">
        <v>34324</v>
      </c>
      <c r="W91" s="147">
        <v>18087</v>
      </c>
    </row>
    <row r="92" spans="1:23">
      <c r="A92">
        <v>33</v>
      </c>
      <c r="B92" s="124" t="s">
        <v>114</v>
      </c>
      <c r="C92" s="161">
        <v>546167</v>
      </c>
      <c r="D92">
        <v>19635</v>
      </c>
      <c r="E92">
        <v>56847</v>
      </c>
      <c r="F92">
        <v>33835</v>
      </c>
      <c r="G92">
        <v>76539</v>
      </c>
      <c r="H92">
        <v>33624</v>
      </c>
      <c r="I92">
        <v>22829</v>
      </c>
      <c r="J92">
        <v>17669</v>
      </c>
      <c r="K92">
        <v>22789</v>
      </c>
      <c r="L92">
        <v>6071</v>
      </c>
      <c r="M92">
        <v>59221</v>
      </c>
      <c r="N92">
        <v>179701</v>
      </c>
      <c r="O92">
        <v>17407</v>
      </c>
      <c r="R92" s="147">
        <v>11335</v>
      </c>
      <c r="S92" s="147">
        <v>8401</v>
      </c>
      <c r="T92" s="147">
        <v>0</v>
      </c>
      <c r="U92" s="147">
        <v>6747</v>
      </c>
      <c r="V92" s="147">
        <v>8955</v>
      </c>
      <c r="W92" s="147">
        <v>21409</v>
      </c>
    </row>
    <row r="93" spans="1:23">
      <c r="A93">
        <v>34</v>
      </c>
      <c r="B93" s="124" t="s">
        <v>237</v>
      </c>
      <c r="C93" s="161">
        <v>350140</v>
      </c>
      <c r="D93">
        <v>4234</v>
      </c>
      <c r="E93">
        <v>23790</v>
      </c>
      <c r="F93">
        <v>20574</v>
      </c>
      <c r="G93">
        <v>52300</v>
      </c>
      <c r="H93">
        <v>17087</v>
      </c>
      <c r="I93">
        <v>17370</v>
      </c>
      <c r="J93">
        <v>11578</v>
      </c>
      <c r="K93">
        <v>10886</v>
      </c>
      <c r="L93">
        <v>4368</v>
      </c>
      <c r="M93">
        <v>39090</v>
      </c>
      <c r="N93">
        <v>134498</v>
      </c>
      <c r="O93">
        <v>14365</v>
      </c>
      <c r="R93" s="147">
        <v>6448</v>
      </c>
      <c r="S93" s="147">
        <v>4637</v>
      </c>
      <c r="T93" s="147">
        <v>0</v>
      </c>
      <c r="U93" s="147">
        <v>3696</v>
      </c>
      <c r="V93" s="147">
        <v>245</v>
      </c>
      <c r="W93" s="147">
        <v>8764</v>
      </c>
    </row>
    <row r="94" spans="1:23">
      <c r="A94">
        <v>35</v>
      </c>
      <c r="B94" s="124" t="s">
        <v>238</v>
      </c>
      <c r="C94" s="161">
        <v>382359</v>
      </c>
      <c r="D94">
        <v>4289</v>
      </c>
      <c r="E94">
        <v>57487</v>
      </c>
      <c r="F94">
        <v>24199</v>
      </c>
      <c r="G94">
        <v>49176</v>
      </c>
      <c r="H94">
        <v>24616</v>
      </c>
      <c r="I94">
        <v>12994</v>
      </c>
      <c r="J94">
        <v>17443</v>
      </c>
      <c r="K94">
        <v>11872</v>
      </c>
      <c r="L94">
        <v>3116</v>
      </c>
      <c r="M94">
        <v>39438</v>
      </c>
      <c r="N94">
        <v>125729</v>
      </c>
      <c r="O94">
        <v>12000</v>
      </c>
      <c r="R94" s="147">
        <v>4885</v>
      </c>
      <c r="S94" s="147">
        <v>18311</v>
      </c>
      <c r="T94" s="147">
        <v>0</v>
      </c>
      <c r="U94" s="147">
        <v>8292</v>
      </c>
      <c r="V94" s="147">
        <v>5904</v>
      </c>
      <c r="W94" s="147">
        <v>20095</v>
      </c>
    </row>
    <row r="95" spans="1:23">
      <c r="A95">
        <v>38</v>
      </c>
      <c r="B95" s="124" t="s">
        <v>239</v>
      </c>
      <c r="C95" s="161">
        <v>418572</v>
      </c>
      <c r="D95">
        <v>1668</v>
      </c>
      <c r="E95">
        <v>79579</v>
      </c>
      <c r="F95">
        <v>26833</v>
      </c>
      <c r="G95">
        <v>54127</v>
      </c>
      <c r="H95">
        <v>22807</v>
      </c>
      <c r="I95">
        <v>14896</v>
      </c>
      <c r="J95">
        <v>13083</v>
      </c>
      <c r="K95">
        <v>10421</v>
      </c>
      <c r="L95">
        <v>3799</v>
      </c>
      <c r="M95">
        <v>48673</v>
      </c>
      <c r="N95">
        <v>130636</v>
      </c>
      <c r="O95">
        <v>12050</v>
      </c>
      <c r="R95" s="147">
        <v>9017</v>
      </c>
      <c r="S95" s="147">
        <v>7022</v>
      </c>
      <c r="T95" s="147">
        <v>127</v>
      </c>
      <c r="U95" s="147">
        <v>27022</v>
      </c>
      <c r="V95" s="147">
        <v>1053</v>
      </c>
      <c r="W95" s="147">
        <v>35338</v>
      </c>
    </row>
    <row r="96" spans="1:23">
      <c r="A96">
        <v>44</v>
      </c>
      <c r="B96" s="124" t="s">
        <v>240</v>
      </c>
      <c r="C96" s="161">
        <v>506628</v>
      </c>
      <c r="D96">
        <v>5184</v>
      </c>
      <c r="E96">
        <v>71806</v>
      </c>
      <c r="F96">
        <v>33963</v>
      </c>
      <c r="G96">
        <v>69322</v>
      </c>
      <c r="H96">
        <v>31125</v>
      </c>
      <c r="I96">
        <v>17394</v>
      </c>
      <c r="J96">
        <v>23501</v>
      </c>
      <c r="K96">
        <v>20193</v>
      </c>
      <c r="L96">
        <v>4532</v>
      </c>
      <c r="M96">
        <v>59403</v>
      </c>
      <c r="N96">
        <v>153108</v>
      </c>
      <c r="O96">
        <v>17097</v>
      </c>
      <c r="R96" s="147">
        <v>8917</v>
      </c>
      <c r="S96" s="147">
        <v>12552</v>
      </c>
      <c r="T96" s="147">
        <v>759</v>
      </c>
      <c r="U96" s="147">
        <v>8299</v>
      </c>
      <c r="V96" s="147">
        <v>12168</v>
      </c>
      <c r="W96" s="147">
        <v>29111</v>
      </c>
    </row>
    <row r="97" spans="1:23">
      <c r="A97">
        <v>59</v>
      </c>
      <c r="B97" s="124" t="s">
        <v>241</v>
      </c>
      <c r="C97" s="161">
        <v>895358</v>
      </c>
      <c r="D97">
        <v>5520</v>
      </c>
      <c r="E97">
        <v>129049</v>
      </c>
      <c r="F97">
        <v>48813</v>
      </c>
      <c r="G97">
        <v>125896</v>
      </c>
      <c r="H97">
        <v>50408</v>
      </c>
      <c r="I97">
        <v>27102</v>
      </c>
      <c r="J97">
        <v>24861</v>
      </c>
      <c r="K97">
        <v>33214</v>
      </c>
      <c r="L97">
        <v>8303</v>
      </c>
      <c r="M97">
        <v>94461</v>
      </c>
      <c r="N97">
        <v>322659</v>
      </c>
      <c r="O97">
        <v>25072</v>
      </c>
      <c r="R97" s="147">
        <v>15909</v>
      </c>
      <c r="S97" s="147">
        <v>17648</v>
      </c>
      <c r="T97" s="147">
        <v>378</v>
      </c>
      <c r="U97" s="147">
        <v>9324</v>
      </c>
      <c r="V97" s="147">
        <v>21239</v>
      </c>
      <c r="W97" s="147">
        <v>64551</v>
      </c>
    </row>
    <row r="98" spans="1:23">
      <c r="A98">
        <v>62</v>
      </c>
      <c r="B98" s="124" t="s">
        <v>247</v>
      </c>
      <c r="C98" s="161">
        <v>412644</v>
      </c>
      <c r="D98">
        <v>5011</v>
      </c>
      <c r="E98">
        <v>67106</v>
      </c>
      <c r="F98">
        <v>27542</v>
      </c>
      <c r="G98">
        <v>57250</v>
      </c>
      <c r="H98">
        <v>26493</v>
      </c>
      <c r="I98">
        <v>13837</v>
      </c>
      <c r="J98">
        <v>2799</v>
      </c>
      <c r="K98">
        <v>8741</v>
      </c>
      <c r="L98">
        <v>3627</v>
      </c>
      <c r="M98">
        <v>31796</v>
      </c>
      <c r="N98">
        <v>157492</v>
      </c>
      <c r="O98">
        <v>10950</v>
      </c>
      <c r="R98" s="147">
        <v>7365</v>
      </c>
      <c r="S98" s="147">
        <v>17611</v>
      </c>
      <c r="T98" s="147">
        <v>93</v>
      </c>
      <c r="U98" s="147">
        <v>5673</v>
      </c>
      <c r="V98" s="147">
        <v>6300</v>
      </c>
      <c r="W98" s="147">
        <v>30064</v>
      </c>
    </row>
    <row r="99" spans="1:23">
      <c r="A99">
        <v>67</v>
      </c>
      <c r="B99" s="124" t="s">
        <v>242</v>
      </c>
      <c r="C99" s="161">
        <v>408829</v>
      </c>
      <c r="D99">
        <v>3463</v>
      </c>
      <c r="E99">
        <v>76774</v>
      </c>
      <c r="F99">
        <v>24828</v>
      </c>
      <c r="G99">
        <v>62884</v>
      </c>
      <c r="H99">
        <v>23312</v>
      </c>
      <c r="I99">
        <v>18171</v>
      </c>
      <c r="J99">
        <v>9390</v>
      </c>
      <c r="K99">
        <v>15240</v>
      </c>
      <c r="L99">
        <v>3227</v>
      </c>
      <c r="M99">
        <v>39979</v>
      </c>
      <c r="N99">
        <v>118775</v>
      </c>
      <c r="O99">
        <v>12786</v>
      </c>
      <c r="R99" s="147">
        <v>5642</v>
      </c>
      <c r="S99" s="147">
        <v>16086</v>
      </c>
      <c r="T99" s="147">
        <v>16</v>
      </c>
      <c r="U99" s="147">
        <v>17511</v>
      </c>
      <c r="V99" s="147">
        <v>8487</v>
      </c>
      <c r="W99" s="147">
        <v>29032</v>
      </c>
    </row>
    <row r="100" spans="1:23">
      <c r="A100">
        <v>69</v>
      </c>
      <c r="B100" s="124" t="s">
        <v>243</v>
      </c>
      <c r="C100" s="161">
        <v>795430</v>
      </c>
      <c r="D100">
        <v>2377</v>
      </c>
      <c r="E100">
        <v>106895</v>
      </c>
      <c r="F100">
        <v>45869</v>
      </c>
      <c r="G100">
        <v>105375</v>
      </c>
      <c r="H100">
        <v>51862</v>
      </c>
      <c r="I100">
        <v>32332</v>
      </c>
      <c r="J100">
        <v>36663</v>
      </c>
      <c r="K100">
        <v>30890</v>
      </c>
      <c r="L100">
        <v>9614</v>
      </c>
      <c r="M100">
        <v>116147</v>
      </c>
      <c r="N100">
        <v>230920</v>
      </c>
      <c r="O100">
        <v>26486</v>
      </c>
      <c r="R100" s="147">
        <v>14441</v>
      </c>
      <c r="S100" s="147">
        <v>9509</v>
      </c>
      <c r="T100" s="147">
        <v>1016</v>
      </c>
      <c r="U100" s="147">
        <v>16235</v>
      </c>
      <c r="V100" s="147">
        <v>8927</v>
      </c>
      <c r="W100" s="147">
        <v>56767</v>
      </c>
    </row>
    <row r="101" spans="1:23">
      <c r="A101">
        <v>76</v>
      </c>
      <c r="B101" s="124" t="s">
        <v>244</v>
      </c>
      <c r="C101" s="161">
        <v>434545</v>
      </c>
      <c r="D101">
        <v>3245</v>
      </c>
      <c r="E101">
        <v>76639</v>
      </c>
      <c r="F101">
        <v>28761</v>
      </c>
      <c r="G101">
        <v>52411</v>
      </c>
      <c r="H101">
        <v>35571</v>
      </c>
      <c r="I101">
        <v>13171</v>
      </c>
      <c r="J101">
        <v>5077</v>
      </c>
      <c r="K101">
        <v>14627</v>
      </c>
      <c r="L101">
        <v>4785</v>
      </c>
      <c r="M101">
        <v>37661</v>
      </c>
      <c r="N101">
        <v>148706</v>
      </c>
      <c r="O101">
        <v>13891</v>
      </c>
      <c r="R101" s="147">
        <v>10611</v>
      </c>
      <c r="S101" s="147">
        <v>10517</v>
      </c>
      <c r="T101" s="147">
        <v>2522</v>
      </c>
      <c r="U101" s="147">
        <v>7305</v>
      </c>
      <c r="V101" s="147">
        <v>10175</v>
      </c>
      <c r="W101" s="147">
        <v>35509</v>
      </c>
    </row>
    <row r="102" spans="1:23">
      <c r="A102">
        <v>83</v>
      </c>
      <c r="B102" s="124" t="s">
        <v>245</v>
      </c>
      <c r="C102" s="161">
        <v>270055</v>
      </c>
      <c r="D102">
        <v>3730</v>
      </c>
      <c r="E102">
        <v>19875</v>
      </c>
      <c r="F102">
        <v>19323</v>
      </c>
      <c r="G102">
        <v>45218</v>
      </c>
      <c r="H102">
        <v>12263</v>
      </c>
      <c r="I102">
        <v>16699</v>
      </c>
      <c r="J102">
        <v>3072</v>
      </c>
      <c r="K102">
        <v>8198</v>
      </c>
      <c r="L102">
        <v>4317</v>
      </c>
      <c r="M102">
        <v>22571</v>
      </c>
      <c r="N102">
        <v>104119</v>
      </c>
      <c r="O102">
        <v>10670</v>
      </c>
      <c r="R102" s="147">
        <v>4822</v>
      </c>
      <c r="S102" s="147">
        <v>4412</v>
      </c>
      <c r="T102" s="147">
        <v>0</v>
      </c>
      <c r="U102" s="147">
        <v>1187</v>
      </c>
      <c r="V102" s="147">
        <v>3254</v>
      </c>
      <c r="W102" s="147">
        <v>6200</v>
      </c>
    </row>
    <row r="103" spans="1:23">
      <c r="A103">
        <v>84</v>
      </c>
      <c r="B103" s="124" t="s">
        <v>246</v>
      </c>
      <c r="C103" s="161">
        <v>176737</v>
      </c>
      <c r="D103">
        <v>5115</v>
      </c>
      <c r="E103">
        <v>19608</v>
      </c>
      <c r="F103">
        <v>11785</v>
      </c>
      <c r="G103">
        <v>31445</v>
      </c>
      <c r="H103">
        <v>11613</v>
      </c>
      <c r="I103">
        <v>7593</v>
      </c>
      <c r="J103">
        <v>1926</v>
      </c>
      <c r="K103">
        <v>4563</v>
      </c>
      <c r="L103">
        <v>1896</v>
      </c>
      <c r="M103">
        <v>14972</v>
      </c>
      <c r="N103">
        <v>59963</v>
      </c>
      <c r="O103">
        <v>6258</v>
      </c>
      <c r="R103" s="147">
        <v>3477</v>
      </c>
      <c r="S103" s="147">
        <v>5857</v>
      </c>
      <c r="T103" s="147">
        <v>0</v>
      </c>
      <c r="U103" s="147">
        <v>1329</v>
      </c>
      <c r="V103" s="147">
        <v>575</v>
      </c>
      <c r="W103" s="147">
        <v>8370</v>
      </c>
    </row>
    <row r="104" spans="1:23">
      <c r="A104">
        <v>72</v>
      </c>
      <c r="B104" s="124" t="s">
        <v>74</v>
      </c>
      <c r="C104" s="161">
        <v>1080317</v>
      </c>
      <c r="D104">
        <v>31044</v>
      </c>
      <c r="E104">
        <v>141562</v>
      </c>
      <c r="F104">
        <v>70514</v>
      </c>
      <c r="G104">
        <v>158213</v>
      </c>
      <c r="H104">
        <v>60905</v>
      </c>
      <c r="I104">
        <v>44162</v>
      </c>
      <c r="J104">
        <v>22890</v>
      </c>
      <c r="K104">
        <v>36660</v>
      </c>
      <c r="L104">
        <v>10515</v>
      </c>
      <c r="M104">
        <v>99229</v>
      </c>
      <c r="N104">
        <v>369732</v>
      </c>
      <c r="O104">
        <v>34891</v>
      </c>
      <c r="R104" s="147">
        <v>21372</v>
      </c>
      <c r="S104" s="147">
        <v>31497</v>
      </c>
      <c r="T104" s="147">
        <v>17</v>
      </c>
      <c r="U104" s="147">
        <v>11894</v>
      </c>
      <c r="V104" s="147">
        <v>18060</v>
      </c>
      <c r="W104" s="147">
        <v>58722</v>
      </c>
    </row>
    <row r="105" spans="1:23">
      <c r="A105">
        <v>243300316</v>
      </c>
      <c r="B105" s="124" t="s">
        <v>411</v>
      </c>
      <c r="C105" s="161">
        <v>360012</v>
      </c>
      <c r="D105">
        <v>857</v>
      </c>
      <c r="E105">
        <v>33030</v>
      </c>
      <c r="F105">
        <v>19586</v>
      </c>
      <c r="G105">
        <v>45916</v>
      </c>
      <c r="H105">
        <v>22915</v>
      </c>
      <c r="I105">
        <v>15799</v>
      </c>
      <c r="J105">
        <v>15818</v>
      </c>
      <c r="K105">
        <v>19083</v>
      </c>
      <c r="L105">
        <v>4854</v>
      </c>
      <c r="M105">
        <v>43467</v>
      </c>
      <c r="N105">
        <v>126120</v>
      </c>
      <c r="O105">
        <v>12567</v>
      </c>
      <c r="R105" s="147">
        <v>6348</v>
      </c>
      <c r="S105" s="147">
        <v>3362</v>
      </c>
      <c r="T105" s="147">
        <v>0</v>
      </c>
      <c r="U105" s="147">
        <v>4797</v>
      </c>
      <c r="V105" s="147">
        <v>7945</v>
      </c>
      <c r="W105" s="147">
        <v>10578</v>
      </c>
    </row>
    <row r="106" spans="1:23">
      <c r="A106" s="56" t="s">
        <v>1413</v>
      </c>
      <c r="B106" s="124" t="s">
        <v>1406</v>
      </c>
      <c r="C106" s="161">
        <v>1857845</v>
      </c>
      <c r="D106">
        <v>49747</v>
      </c>
      <c r="E106">
        <v>263207</v>
      </c>
      <c r="F106">
        <v>118511</v>
      </c>
      <c r="G106">
        <v>264356</v>
      </c>
      <c r="H106">
        <v>101925</v>
      </c>
      <c r="I106">
        <v>69580</v>
      </c>
      <c r="J106">
        <v>31672</v>
      </c>
      <c r="K106">
        <v>67848</v>
      </c>
      <c r="L106">
        <v>16119</v>
      </c>
      <c r="M106">
        <v>155636</v>
      </c>
      <c r="N106">
        <v>659349</v>
      </c>
      <c r="O106">
        <v>59895</v>
      </c>
      <c r="R106" s="147">
        <v>35956</v>
      </c>
      <c r="S106" s="147">
        <v>54617</v>
      </c>
      <c r="T106" s="147">
        <v>112</v>
      </c>
      <c r="U106" s="147">
        <v>29980</v>
      </c>
      <c r="V106" s="147">
        <v>28587</v>
      </c>
      <c r="W106" s="147">
        <v>113955</v>
      </c>
    </row>
    <row r="107" spans="1:23">
      <c r="B107" s="124" t="s">
        <v>1141</v>
      </c>
      <c r="C107" s="161">
        <v>22234775</v>
      </c>
      <c r="D107">
        <v>250524</v>
      </c>
      <c r="E107">
        <v>3119358</v>
      </c>
      <c r="F107">
        <v>1339790</v>
      </c>
      <c r="G107">
        <v>3033523</v>
      </c>
      <c r="H107">
        <v>1331900</v>
      </c>
      <c r="I107">
        <v>941442</v>
      </c>
      <c r="J107">
        <v>710962</v>
      </c>
      <c r="K107">
        <v>843382</v>
      </c>
      <c r="L107">
        <v>232314</v>
      </c>
      <c r="M107">
        <v>2497220</v>
      </c>
      <c r="N107">
        <v>7150961</v>
      </c>
      <c r="O107">
        <v>783399</v>
      </c>
      <c r="R107" s="147">
        <v>388175</v>
      </c>
      <c r="S107" s="147">
        <v>553184</v>
      </c>
      <c r="T107" s="147">
        <v>9363</v>
      </c>
      <c r="U107" s="147">
        <v>414187</v>
      </c>
      <c r="V107" s="147">
        <v>354116</v>
      </c>
      <c r="W107" s="147">
        <v>1400333</v>
      </c>
    </row>
    <row r="109" spans="1:23" ht="60">
      <c r="A109" s="55" t="s">
        <v>251</v>
      </c>
      <c r="B109" s="55" t="s">
        <v>252</v>
      </c>
      <c r="C109" s="55" t="s">
        <v>1414</v>
      </c>
      <c r="D109" s="55" t="s">
        <v>454</v>
      </c>
      <c r="E109" s="55" t="s">
        <v>812</v>
      </c>
      <c r="F109" s="55" t="s">
        <v>277</v>
      </c>
      <c r="G109" s="55" t="s">
        <v>813</v>
      </c>
      <c r="H109" s="55" t="s">
        <v>419</v>
      </c>
      <c r="I109" s="55" t="s">
        <v>280</v>
      </c>
      <c r="J109" s="55" t="s">
        <v>281</v>
      </c>
      <c r="K109" s="55" t="s">
        <v>282</v>
      </c>
      <c r="L109" s="55" t="s">
        <v>283</v>
      </c>
      <c r="M109" s="55" t="s">
        <v>420</v>
      </c>
      <c r="N109" s="55" t="s">
        <v>421</v>
      </c>
      <c r="O109" s="55" t="s">
        <v>286</v>
      </c>
    </row>
    <row r="110" spans="1:23">
      <c r="A110">
        <v>59</v>
      </c>
      <c r="B110" s="124" t="s">
        <v>89</v>
      </c>
      <c r="D110" s="148">
        <f>D59/$C59</f>
        <v>3.6422971604336246E-2</v>
      </c>
      <c r="E110" s="148">
        <f t="shared" ref="E110:L110" si="0">E59/$C59</f>
        <v>0.11446415844555309</v>
      </c>
      <c r="F110" s="148">
        <f t="shared" si="0"/>
        <v>7.4477662327919275E-2</v>
      </c>
      <c r="G110" s="148">
        <f t="shared" si="0"/>
        <v>0.1706990759843455</v>
      </c>
      <c r="H110" s="148">
        <f t="shared" si="0"/>
        <v>6.7175562974355132E-2</v>
      </c>
      <c r="I110" s="148">
        <f t="shared" si="0"/>
        <v>4.3424984683096392E-2</v>
      </c>
      <c r="J110" s="148">
        <f t="shared" si="0"/>
        <v>1.0315465696387711E-2</v>
      </c>
      <c r="K110" s="148">
        <f t="shared" si="0"/>
        <v>2.6232541855783539E-2</v>
      </c>
      <c r="L110" s="148">
        <f t="shared" si="0"/>
        <v>9.7653075259137006E-3</v>
      </c>
      <c r="M110" s="148">
        <f t="shared" ref="M110:O129" si="1">M59/$C59</f>
        <v>7.9460344849144132E-2</v>
      </c>
      <c r="N110" s="148">
        <f t="shared" si="1"/>
        <v>0.33146404591320006</v>
      </c>
      <c r="O110" s="148">
        <f t="shared" si="1"/>
        <v>3.6097878139965241E-2</v>
      </c>
    </row>
    <row r="111" spans="1:23">
      <c r="A111">
        <v>7204</v>
      </c>
      <c r="B111" s="124" t="s">
        <v>6</v>
      </c>
      <c r="D111" s="148">
        <f t="shared" ref="D111:L111" si="2">D60/$C60</f>
        <v>2.2368310686126488E-2</v>
      </c>
      <c r="E111" s="148">
        <f t="shared" si="2"/>
        <v>0.10419392719342392</v>
      </c>
      <c r="F111" s="148">
        <f t="shared" si="2"/>
        <v>6.348766985405134E-2</v>
      </c>
      <c r="G111" s="148">
        <f t="shared" si="2"/>
        <v>0.13544078174802884</v>
      </c>
      <c r="H111" s="148">
        <f t="shared" si="2"/>
        <v>6.5414779399429621E-2</v>
      </c>
      <c r="I111" s="148">
        <f t="shared" si="2"/>
        <v>4.1232595202147289E-2</v>
      </c>
      <c r="J111" s="148">
        <f t="shared" si="2"/>
        <v>3.6074064754235864E-2</v>
      </c>
      <c r="K111" s="148">
        <f t="shared" si="2"/>
        <v>4.456047643012917E-2</v>
      </c>
      <c r="L111" s="148">
        <f t="shared" si="2"/>
        <v>1.1615081362187552E-2</v>
      </c>
      <c r="M111" s="148">
        <f t="shared" si="1"/>
        <v>0.11564754235866466</v>
      </c>
      <c r="N111" s="148">
        <f t="shared" si="1"/>
        <v>0.32790429458144604</v>
      </c>
      <c r="O111" s="148">
        <f t="shared" si="1"/>
        <v>3.2060476430129173E-2</v>
      </c>
    </row>
    <row r="112" spans="1:23">
      <c r="A112">
        <v>3122</v>
      </c>
      <c r="B112" s="124" t="s">
        <v>1076</v>
      </c>
      <c r="D112" s="148">
        <f t="shared" ref="D112:L112" si="3">D61/$C61</f>
        <v>9.5997712394938677E-4</v>
      </c>
      <c r="E112" s="148">
        <f t="shared" si="3"/>
        <v>0.10887570338749375</v>
      </c>
      <c r="F112" s="148">
        <f t="shared" si="3"/>
        <v>7.8156435421113363E-2</v>
      </c>
      <c r="G112" s="148">
        <f t="shared" si="3"/>
        <v>0.15192148612628806</v>
      </c>
      <c r="H112" s="148">
        <f t="shared" si="3"/>
        <v>8.9145109733555286E-2</v>
      </c>
      <c r="I112" s="148">
        <f t="shared" si="3"/>
        <v>3.4794064481867663E-2</v>
      </c>
      <c r="J112" s="148">
        <f t="shared" si="3"/>
        <v>1.1458450351821404E-2</v>
      </c>
      <c r="K112" s="148">
        <f t="shared" si="3"/>
        <v>1.7718726702682829E-2</v>
      </c>
      <c r="L112" s="148">
        <f t="shared" si="3"/>
        <v>9.0687200645431423E-3</v>
      </c>
      <c r="M112" s="148">
        <f t="shared" si="1"/>
        <v>0.1046987816460544</v>
      </c>
      <c r="N112" s="148">
        <f t="shared" si="1"/>
        <v>0.3659963847670013</v>
      </c>
      <c r="O112" s="148">
        <f t="shared" si="1"/>
        <v>2.7206160193629429E-2</v>
      </c>
    </row>
    <row r="113" spans="1:15">
      <c r="A113">
        <v>8210</v>
      </c>
      <c r="B113" s="124" t="s">
        <v>8</v>
      </c>
      <c r="D113" s="148">
        <f t="shared" ref="D113:L113" si="4">D62/$C62</f>
        <v>3.6668725961059409E-3</v>
      </c>
      <c r="E113" s="148">
        <f t="shared" si="4"/>
        <v>0.17608959923473963</v>
      </c>
      <c r="F113" s="148">
        <f t="shared" si="4"/>
        <v>5.5969628729149644E-2</v>
      </c>
      <c r="G113" s="148">
        <f t="shared" si="4"/>
        <v>0.11396533742535057</v>
      </c>
      <c r="H113" s="148">
        <f t="shared" si="4"/>
        <v>4.3065824348831182E-2</v>
      </c>
      <c r="I113" s="148">
        <f t="shared" si="4"/>
        <v>3.8007267316340833E-2</v>
      </c>
      <c r="J113" s="148">
        <f t="shared" si="4"/>
        <v>4.0066561709081489E-2</v>
      </c>
      <c r="K113" s="148">
        <f t="shared" si="4"/>
        <v>2.6465254389286354E-2</v>
      </c>
      <c r="L113" s="148">
        <f t="shared" si="4"/>
        <v>9.6786836458810782E-3</v>
      </c>
      <c r="M113" s="148">
        <f t="shared" si="1"/>
        <v>0.12959604615476594</v>
      </c>
      <c r="N113" s="148">
        <f t="shared" si="1"/>
        <v>0.33253286567421964</v>
      </c>
      <c r="O113" s="148">
        <f t="shared" si="1"/>
        <v>3.0896058776247699E-2</v>
      </c>
    </row>
    <row r="114" spans="1:15">
      <c r="A114">
        <v>3111</v>
      </c>
      <c r="B114" s="124" t="s">
        <v>10</v>
      </c>
      <c r="D114" s="148">
        <f t="shared" ref="D114:L114" si="5">D63/$C63</f>
        <v>3.1007218247390469E-3</v>
      </c>
      <c r="E114" s="148">
        <f t="shared" si="5"/>
        <v>7.3082768883687185E-2</v>
      </c>
      <c r="F114" s="148">
        <f t="shared" si="5"/>
        <v>4.9304389732400554E-2</v>
      </c>
      <c r="G114" s="148">
        <f t="shared" si="5"/>
        <v>0.13627023677757949</v>
      </c>
      <c r="H114" s="148">
        <f t="shared" si="5"/>
        <v>6.076461522981353E-2</v>
      </c>
      <c r="I114" s="148">
        <f t="shared" si="5"/>
        <v>3.5249196354334919E-2</v>
      </c>
      <c r="J114" s="148">
        <f t="shared" si="5"/>
        <v>4.732903663141394E-2</v>
      </c>
      <c r="K114" s="148">
        <f t="shared" si="5"/>
        <v>5.242099911559258E-2</v>
      </c>
      <c r="L114" s="148">
        <f t="shared" si="5"/>
        <v>9.6861148034973806E-3</v>
      </c>
      <c r="M114" s="148">
        <f t="shared" si="1"/>
        <v>0.13549439433979252</v>
      </c>
      <c r="N114" s="148">
        <f t="shared" si="1"/>
        <v>0.3669893606316893</v>
      </c>
      <c r="O114" s="148">
        <f t="shared" si="1"/>
        <v>3.0308165675459547E-2</v>
      </c>
    </row>
    <row r="115" spans="1:15">
      <c r="A115">
        <v>8214</v>
      </c>
      <c r="B115" s="124" t="s">
        <v>12</v>
      </c>
      <c r="D115" s="148">
        <f t="shared" ref="D115:L115" si="6">D64/$C64</f>
        <v>1.8652807634826532E-3</v>
      </c>
      <c r="E115" s="148">
        <f t="shared" si="6"/>
        <v>0.14189212353771002</v>
      </c>
      <c r="F115" s="148">
        <f t="shared" si="6"/>
        <v>5.8534770534912746E-2</v>
      </c>
      <c r="G115" s="148">
        <f t="shared" si="6"/>
        <v>0.13129976674467239</v>
      </c>
      <c r="H115" s="148">
        <f t="shared" si="6"/>
        <v>6.555401632152412E-2</v>
      </c>
      <c r="I115" s="148">
        <f t="shared" si="6"/>
        <v>4.0071157477185544E-2</v>
      </c>
      <c r="J115" s="148">
        <f t="shared" si="6"/>
        <v>4.6456791894853529E-2</v>
      </c>
      <c r="K115" s="148">
        <f t="shared" si="6"/>
        <v>3.8784888305362586E-2</v>
      </c>
      <c r="L115" s="148">
        <f t="shared" si="6"/>
        <v>1.1783393795179729E-2</v>
      </c>
      <c r="M115" s="148">
        <f t="shared" si="1"/>
        <v>0.1447871814960085</v>
      </c>
      <c r="N115" s="148">
        <f t="shared" si="1"/>
        <v>0.2857650762047822</v>
      </c>
      <c r="O115" s="148">
        <f t="shared" si="1"/>
        <v>3.3205552924325976E-2</v>
      </c>
    </row>
    <row r="116" spans="1:15">
      <c r="A116">
        <v>9310</v>
      </c>
      <c r="B116" s="124" t="s">
        <v>54</v>
      </c>
      <c r="D116" s="148">
        <f t="shared" ref="D116:L116" si="7">D65/$C65</f>
        <v>1.6272553696269523E-3</v>
      </c>
      <c r="E116" s="148">
        <f t="shared" si="7"/>
        <v>9.5086025602431831E-2</v>
      </c>
      <c r="F116" s="148">
        <f t="shared" si="7"/>
        <v>5.1268017169333498E-2</v>
      </c>
      <c r="G116" s="148">
        <f t="shared" si="7"/>
        <v>0.12932364698873552</v>
      </c>
      <c r="H116" s="148">
        <f t="shared" si="7"/>
        <v>8.2107979866661893E-2</v>
      </c>
      <c r="I116" s="148">
        <f t="shared" si="7"/>
        <v>4.2729662991834248E-2</v>
      </c>
      <c r="J116" s="148">
        <f t="shared" si="7"/>
        <v>2.1827957215603967E-2</v>
      </c>
      <c r="K116" s="148">
        <f t="shared" si="7"/>
        <v>3.5441748257489476E-2</v>
      </c>
      <c r="L116" s="148">
        <f t="shared" si="7"/>
        <v>1.3599055223531839E-2</v>
      </c>
      <c r="M116" s="148">
        <f t="shared" si="1"/>
        <v>0.12667330480198219</v>
      </c>
      <c r="N116" s="148">
        <f t="shared" si="1"/>
        <v>0.3619411704028983</v>
      </c>
      <c r="O116" s="148">
        <f t="shared" si="1"/>
        <v>3.8374176109870262E-2</v>
      </c>
    </row>
    <row r="117" spans="1:15">
      <c r="A117">
        <v>9111</v>
      </c>
      <c r="B117" s="124" t="s">
        <v>15</v>
      </c>
      <c r="D117" s="148">
        <f t="shared" ref="D117:L117" si="8">D66/$C66</f>
        <v>7.2145316047755072E-3</v>
      </c>
      <c r="E117" s="148">
        <f t="shared" si="8"/>
        <v>6.0108889377182062E-2</v>
      </c>
      <c r="F117" s="148">
        <f t="shared" si="8"/>
        <v>5.5323616299226053E-2</v>
      </c>
      <c r="G117" s="148">
        <f t="shared" si="8"/>
        <v>0.13907403338297647</v>
      </c>
      <c r="H117" s="148">
        <f t="shared" si="8"/>
        <v>4.6656412510071049E-2</v>
      </c>
      <c r="I117" s="148">
        <f t="shared" si="8"/>
        <v>4.9398992488423381E-2</v>
      </c>
      <c r="J117" s="148">
        <f t="shared" si="8"/>
        <v>4.484158955703671E-2</v>
      </c>
      <c r="K117" s="148">
        <f t="shared" si="8"/>
        <v>3.3716643472741031E-2</v>
      </c>
      <c r="L117" s="148">
        <f t="shared" si="8"/>
        <v>1.2842110403086013E-2</v>
      </c>
      <c r="M117" s="148">
        <f t="shared" si="1"/>
        <v>0.13074456570391529</v>
      </c>
      <c r="N117" s="148">
        <f t="shared" si="1"/>
        <v>0.37689722242567769</v>
      </c>
      <c r="O117" s="148">
        <f t="shared" si="1"/>
        <v>4.3181392774888708E-2</v>
      </c>
    </row>
    <row r="118" spans="1:15">
      <c r="A118">
        <v>5203</v>
      </c>
      <c r="B118" s="124" t="s">
        <v>17</v>
      </c>
      <c r="D118" s="148">
        <f t="shared" ref="D118:L118" si="9">D67/$C67</f>
        <v>1.0928098190063667E-2</v>
      </c>
      <c r="E118" s="148">
        <f t="shared" si="9"/>
        <v>0.12889840268748848</v>
      </c>
      <c r="F118" s="148">
        <f t="shared" si="9"/>
        <v>6.638268935611856E-2</v>
      </c>
      <c r="G118" s="148">
        <f t="shared" si="9"/>
        <v>0.13559317975572205</v>
      </c>
      <c r="H118" s="148">
        <f t="shared" si="9"/>
        <v>6.2144579409490017E-2</v>
      </c>
      <c r="I118" s="148">
        <f t="shared" si="9"/>
        <v>3.0428192769353438E-2</v>
      </c>
      <c r="J118" s="148">
        <f t="shared" si="9"/>
        <v>5.4616546826326086E-2</v>
      </c>
      <c r="K118" s="148">
        <f t="shared" si="9"/>
        <v>4.4816216876297471E-2</v>
      </c>
      <c r="L118" s="148">
        <f t="shared" si="9"/>
        <v>8.8808755887261493E-3</v>
      </c>
      <c r="M118" s="148">
        <f t="shared" si="1"/>
        <v>0.12520142994308481</v>
      </c>
      <c r="N118" s="148">
        <f t="shared" si="1"/>
        <v>0.29833420729385907</v>
      </c>
      <c r="O118" s="148">
        <f t="shared" si="1"/>
        <v>3.377558130347022E-2</v>
      </c>
    </row>
    <row r="119" spans="1:15">
      <c r="A119">
        <v>9307</v>
      </c>
      <c r="B119" s="124" t="s">
        <v>19</v>
      </c>
      <c r="D119" s="148">
        <f t="shared" ref="D119:L119" si="10">D68/$C68</f>
        <v>2.1697078660146561E-3</v>
      </c>
      <c r="E119" s="148">
        <f t="shared" si="10"/>
        <v>7.1482696462105422E-2</v>
      </c>
      <c r="F119" s="148">
        <f t="shared" si="10"/>
        <v>6.3283930512869999E-2</v>
      </c>
      <c r="G119" s="148">
        <f t="shared" si="10"/>
        <v>0.14811433089692241</v>
      </c>
      <c r="H119" s="148">
        <f t="shared" si="10"/>
        <v>6.2177897218914584E-2</v>
      </c>
      <c r="I119" s="148">
        <f t="shared" si="10"/>
        <v>7.1397979018313087E-2</v>
      </c>
      <c r="J119" s="148">
        <f t="shared" si="10"/>
        <v>1.3258279953499536E-2</v>
      </c>
      <c r="K119" s="148">
        <f t="shared" si="10"/>
        <v>3.0874801737648904E-2</v>
      </c>
      <c r="L119" s="148">
        <f t="shared" si="10"/>
        <v>1.5540944411237299E-2</v>
      </c>
      <c r="M119" s="148">
        <f t="shared" si="1"/>
        <v>0.10622626146627069</v>
      </c>
      <c r="N119" s="148">
        <f t="shared" si="1"/>
        <v>0.37398515562123774</v>
      </c>
      <c r="O119" s="148">
        <f t="shared" si="1"/>
        <v>4.1488014834965711E-2</v>
      </c>
    </row>
    <row r="120" spans="1:15">
      <c r="A120">
        <v>5312</v>
      </c>
      <c r="B120" s="124" t="s">
        <v>21</v>
      </c>
      <c r="D120" s="148">
        <f t="shared" ref="D120:L120" si="11">D69/$C69</f>
        <v>9.9262450318760177E-3</v>
      </c>
      <c r="E120" s="148">
        <f t="shared" si="11"/>
        <v>0.1311818133319107</v>
      </c>
      <c r="F120" s="148">
        <f t="shared" si="11"/>
        <v>6.3898743631465235E-2</v>
      </c>
      <c r="G120" s="148">
        <f t="shared" si="11"/>
        <v>0.1231494571741044</v>
      </c>
      <c r="H120" s="148">
        <f t="shared" si="11"/>
        <v>6.8226679826082312E-2</v>
      </c>
      <c r="I120" s="148">
        <f t="shared" si="11"/>
        <v>2.9995465336498706E-2</v>
      </c>
      <c r="J120" s="148">
        <f t="shared" si="11"/>
        <v>5.6496572327882848E-2</v>
      </c>
      <c r="K120" s="148">
        <f t="shared" si="11"/>
        <v>3.4393422070474008E-2</v>
      </c>
      <c r="L120" s="148">
        <f t="shared" si="11"/>
        <v>8.4258049027714794E-3</v>
      </c>
      <c r="M120" s="148">
        <f t="shared" si="1"/>
        <v>0.11146269572407906</v>
      </c>
      <c r="N120" s="148">
        <f t="shared" si="1"/>
        <v>0.33045359972258531</v>
      </c>
      <c r="O120" s="148">
        <f t="shared" si="1"/>
        <v>3.2389500920269945E-2</v>
      </c>
    </row>
    <row r="121" spans="1:15">
      <c r="A121">
        <v>2307</v>
      </c>
      <c r="B121" s="124" t="s">
        <v>23</v>
      </c>
      <c r="D121" s="148">
        <f t="shared" ref="D121:L121" si="12">D70/$C70</f>
        <v>6.0139170226387768E-3</v>
      </c>
      <c r="E121" s="148">
        <f t="shared" si="12"/>
        <v>0.15939503983039285</v>
      </c>
      <c r="F121" s="148">
        <f t="shared" si="12"/>
        <v>6.6863282220286382E-2</v>
      </c>
      <c r="G121" s="148">
        <f t="shared" si="12"/>
        <v>0.12432260344182174</v>
      </c>
      <c r="H121" s="148">
        <f t="shared" si="12"/>
        <v>6.7625954652476755E-2</v>
      </c>
      <c r="I121" s="148">
        <f t="shared" si="12"/>
        <v>3.1406011118224719E-2</v>
      </c>
      <c r="J121" s="148">
        <f t="shared" si="12"/>
        <v>1.5435370508366656E-2</v>
      </c>
      <c r="K121" s="148">
        <f t="shared" si="12"/>
        <v>3.7507390575747715E-2</v>
      </c>
      <c r="L121" s="148">
        <f t="shared" si="12"/>
        <v>1.1838915185927643E-2</v>
      </c>
      <c r="M121" s="148">
        <f t="shared" si="1"/>
        <v>9.159765880554302E-2</v>
      </c>
      <c r="N121" s="148">
        <f t="shared" si="1"/>
        <v>0.35552430231215693</v>
      </c>
      <c r="O121" s="148">
        <f t="shared" si="1"/>
        <v>3.2469554326416801E-2</v>
      </c>
    </row>
    <row r="122" spans="1:15">
      <c r="A122">
        <v>4205</v>
      </c>
      <c r="B122" s="124" t="s">
        <v>25</v>
      </c>
      <c r="D122" s="148">
        <f t="shared" ref="D122:L122" si="13">D71/$C71</f>
        <v>3.1643124285228572E-3</v>
      </c>
      <c r="E122" s="148">
        <f t="shared" si="13"/>
        <v>0.10613003430902852</v>
      </c>
      <c r="F122" s="148">
        <f t="shared" si="13"/>
        <v>4.8449911909251075E-2</v>
      </c>
      <c r="G122" s="148">
        <f t="shared" si="13"/>
        <v>0.15291858560257163</v>
      </c>
      <c r="H122" s="148">
        <f t="shared" si="13"/>
        <v>6.4742836831205755E-2</v>
      </c>
      <c r="I122" s="148">
        <f t="shared" si="13"/>
        <v>4.6154916081970761E-2</v>
      </c>
      <c r="J122" s="148">
        <f t="shared" si="13"/>
        <v>3.3204030538126296E-2</v>
      </c>
      <c r="K122" s="148">
        <f t="shared" si="13"/>
        <v>4.9392637467931877E-2</v>
      </c>
      <c r="L122" s="148">
        <f t="shared" si="13"/>
        <v>1.0312026705405991E-2</v>
      </c>
      <c r="M122" s="148">
        <f t="shared" si="1"/>
        <v>0.12557181714215065</v>
      </c>
      <c r="N122" s="148">
        <f t="shared" si="1"/>
        <v>0.32663122430686492</v>
      </c>
      <c r="O122" s="148">
        <f t="shared" si="1"/>
        <v>3.3327666676969681E-2</v>
      </c>
    </row>
    <row r="123" spans="1:15">
      <c r="A123">
        <v>9315</v>
      </c>
      <c r="B123" s="124" t="s">
        <v>55</v>
      </c>
      <c r="D123" s="148">
        <f t="shared" ref="D123:L123" si="14">D72/$C72</f>
        <v>1.0716140301184913E-2</v>
      </c>
      <c r="E123" s="148">
        <f t="shared" si="14"/>
        <v>7.4110135486002926E-2</v>
      </c>
      <c r="F123" s="148">
        <f t="shared" si="14"/>
        <v>6.3075343435773965E-2</v>
      </c>
      <c r="G123" s="148">
        <f t="shared" si="14"/>
        <v>0.15500047207666526</v>
      </c>
      <c r="H123" s="148">
        <f t="shared" si="14"/>
        <v>4.7107350233677951E-2</v>
      </c>
      <c r="I123" s="148">
        <f t="shared" si="14"/>
        <v>4.9833592975499219E-2</v>
      </c>
      <c r="J123" s="148">
        <f t="shared" si="14"/>
        <v>1.4203606665722514E-2</v>
      </c>
      <c r="K123" s="148">
        <f t="shared" si="14"/>
        <v>2.6530708587074542E-2</v>
      </c>
      <c r="L123" s="148">
        <f t="shared" si="14"/>
        <v>1.556672803663315E-2</v>
      </c>
      <c r="M123" s="148">
        <f t="shared" si="1"/>
        <v>8.8048199027522075E-2</v>
      </c>
      <c r="N123" s="148">
        <f t="shared" si="1"/>
        <v>0.41677878487466363</v>
      </c>
      <c r="O123" s="148">
        <f t="shared" si="1"/>
        <v>3.9028938299579853E-2</v>
      </c>
    </row>
    <row r="124" spans="1:15">
      <c r="A124">
        <v>61</v>
      </c>
      <c r="B124" s="124" t="s">
        <v>27</v>
      </c>
      <c r="D124" s="148">
        <f t="shared" ref="D124:L124" si="15">D73/$C73</f>
        <v>4.1681696847269316E-3</v>
      </c>
      <c r="E124" s="148">
        <f t="shared" si="15"/>
        <v>0.14238150205612871</v>
      </c>
      <c r="F124" s="148">
        <f t="shared" si="15"/>
        <v>6.082714089892504E-2</v>
      </c>
      <c r="G124" s="148">
        <f t="shared" si="15"/>
        <v>0.11784864006925908</v>
      </c>
      <c r="H124" s="148">
        <f t="shared" si="15"/>
        <v>5.8466200129860757E-2</v>
      </c>
      <c r="I124" s="148">
        <f t="shared" si="15"/>
        <v>3.5596277324868336E-2</v>
      </c>
      <c r="J124" s="148">
        <f t="shared" si="15"/>
        <v>4.8434456388427964E-2</v>
      </c>
      <c r="K124" s="148">
        <f t="shared" si="15"/>
        <v>3.0255753553134694E-2</v>
      </c>
      <c r="L124" s="148">
        <f t="shared" si="15"/>
        <v>9.9415626578168957E-3</v>
      </c>
      <c r="M124" s="148">
        <f t="shared" si="1"/>
        <v>0.14823245076112834</v>
      </c>
      <c r="N124" s="148">
        <f t="shared" si="1"/>
        <v>0.31044657672606596</v>
      </c>
      <c r="O124" s="148">
        <f t="shared" si="1"/>
        <v>3.3401269749657313E-2</v>
      </c>
    </row>
    <row r="125" spans="1:15">
      <c r="A125">
        <v>2</v>
      </c>
      <c r="B125" s="124" t="s">
        <v>29</v>
      </c>
      <c r="D125" s="148">
        <f t="shared" ref="D125:L125" si="16">D74/$C74</f>
        <v>3.085605578827426E-3</v>
      </c>
      <c r="E125" s="148">
        <f t="shared" si="16"/>
        <v>0.15164782721484418</v>
      </c>
      <c r="F125" s="148">
        <f t="shared" si="16"/>
        <v>6.0193936713890263E-2</v>
      </c>
      <c r="G125" s="148">
        <f t="shared" si="16"/>
        <v>0.13774454163050009</v>
      </c>
      <c r="H125" s="148">
        <f t="shared" si="16"/>
        <v>6.998162209376782E-2</v>
      </c>
      <c r="I125" s="148">
        <f t="shared" si="16"/>
        <v>3.9156214392122565E-2</v>
      </c>
      <c r="J125" s="148">
        <f t="shared" si="16"/>
        <v>4.125670290073194E-2</v>
      </c>
      <c r="K125" s="148">
        <f t="shared" si="16"/>
        <v>3.6307036910147472E-2</v>
      </c>
      <c r="L125" s="148">
        <f t="shared" si="16"/>
        <v>1.1340886627254687E-2</v>
      </c>
      <c r="M125" s="148">
        <f t="shared" si="1"/>
        <v>0.13730780639603676</v>
      </c>
      <c r="N125" s="148">
        <f t="shared" si="1"/>
        <v>0.27960358889094428</v>
      </c>
      <c r="O125" s="148">
        <f t="shared" si="1"/>
        <v>3.237423065093252E-2</v>
      </c>
    </row>
    <row r="126" spans="1:15">
      <c r="A126">
        <v>3</v>
      </c>
      <c r="B126" s="124" t="s">
        <v>59</v>
      </c>
      <c r="D126" s="148">
        <f t="shared" ref="D126:L126" si="17">D75/$C75</f>
        <v>2.8936275342402299E-3</v>
      </c>
      <c r="E126" s="148">
        <f t="shared" si="17"/>
        <v>0.10385714065129781</v>
      </c>
      <c r="F126" s="148">
        <f t="shared" si="17"/>
        <v>5.4730324413631237E-2</v>
      </c>
      <c r="G126" s="148">
        <f t="shared" si="17"/>
        <v>0.1294890601114834</v>
      </c>
      <c r="H126" s="148">
        <f t="shared" si="17"/>
        <v>7.5853496595278166E-2</v>
      </c>
      <c r="I126" s="148">
        <f t="shared" si="17"/>
        <v>4.1239596683291385E-2</v>
      </c>
      <c r="J126" s="148">
        <f t="shared" si="17"/>
        <v>2.9540015132097031E-2</v>
      </c>
      <c r="K126" s="148">
        <f t="shared" si="17"/>
        <v>3.4930438676404739E-2</v>
      </c>
      <c r="L126" s="148">
        <f t="shared" si="17"/>
        <v>1.2689344224325619E-2</v>
      </c>
      <c r="M126" s="148">
        <f t="shared" si="1"/>
        <v>0.13175578648302272</v>
      </c>
      <c r="N126" s="148">
        <f t="shared" si="1"/>
        <v>0.34577304942636999</v>
      </c>
      <c r="O126" s="148">
        <f t="shared" si="1"/>
        <v>3.7248120068557662E-2</v>
      </c>
    </row>
    <row r="127" spans="1:15">
      <c r="A127">
        <v>4</v>
      </c>
      <c r="B127" s="124" t="s">
        <v>32</v>
      </c>
      <c r="D127" s="148">
        <f t="shared" ref="D127:L127" si="18">D76/$C76</f>
        <v>2.9407991851535592E-3</v>
      </c>
      <c r="E127" s="148">
        <f t="shared" si="18"/>
        <v>0.13828840126592215</v>
      </c>
      <c r="F127" s="148">
        <f t="shared" si="18"/>
        <v>6.0182995824294906E-2</v>
      </c>
      <c r="G127" s="148">
        <f t="shared" si="18"/>
        <v>0.11584949081670359</v>
      </c>
      <c r="H127" s="148">
        <f t="shared" si="18"/>
        <v>5.9478429352851865E-2</v>
      </c>
      <c r="I127" s="148">
        <f t="shared" si="18"/>
        <v>3.5886940056327025E-2</v>
      </c>
      <c r="J127" s="148">
        <f t="shared" si="18"/>
        <v>5.1239979552255663E-2</v>
      </c>
      <c r="K127" s="148">
        <f t="shared" si="18"/>
        <v>3.0985608081071096E-2</v>
      </c>
      <c r="L127" s="148">
        <f t="shared" si="18"/>
        <v>1.0248761743572267E-2</v>
      </c>
      <c r="M127" s="148">
        <f t="shared" si="1"/>
        <v>0.15472509462825504</v>
      </c>
      <c r="N127" s="148">
        <f t="shared" si="1"/>
        <v>0.30629304221463621</v>
      </c>
      <c r="O127" s="148">
        <f t="shared" si="1"/>
        <v>3.3880457278956631E-2</v>
      </c>
    </row>
    <row r="128" spans="1:15">
      <c r="A128">
        <v>5</v>
      </c>
      <c r="B128" s="124" t="s">
        <v>34</v>
      </c>
      <c r="D128" s="148">
        <f t="shared" ref="D128:L128" si="19">D77/$C77</f>
        <v>3.838441936076561E-3</v>
      </c>
      <c r="E128" s="148">
        <f t="shared" si="19"/>
        <v>8.4152147690144674E-2</v>
      </c>
      <c r="F128" s="148">
        <f t="shared" si="19"/>
        <v>5.0017574552048631E-2</v>
      </c>
      <c r="G128" s="148">
        <f t="shared" si="19"/>
        <v>0.15553278852221983</v>
      </c>
      <c r="H128" s="148">
        <f t="shared" si="19"/>
        <v>5.7089334643436303E-2</v>
      </c>
      <c r="I128" s="148">
        <f t="shared" si="19"/>
        <v>3.2620765132088739E-2</v>
      </c>
      <c r="J128" s="148">
        <f t="shared" si="19"/>
        <v>4.5230506226983325E-2</v>
      </c>
      <c r="K128" s="148">
        <f t="shared" si="19"/>
        <v>5.2110543932385907E-2</v>
      </c>
      <c r="L128" s="148">
        <f t="shared" si="19"/>
        <v>1.0245165001078438E-2</v>
      </c>
      <c r="M128" s="148">
        <f t="shared" si="1"/>
        <v>0.13630862511083949</v>
      </c>
      <c r="N128" s="148">
        <f t="shared" si="1"/>
        <v>0.34256197026705332</v>
      </c>
      <c r="O128" s="148">
        <f t="shared" si="1"/>
        <v>3.0292136985644785E-2</v>
      </c>
    </row>
    <row r="129" spans="1:15">
      <c r="A129">
        <v>6</v>
      </c>
      <c r="B129" s="124" t="s">
        <v>61</v>
      </c>
      <c r="D129" s="148">
        <f t="shared" ref="D129:L129" si="20">D78/$C78</f>
        <v>1.8194547780989442E-2</v>
      </c>
      <c r="E129" s="148">
        <f t="shared" si="20"/>
        <v>0.10066918185988223</v>
      </c>
      <c r="F129" s="148">
        <f t="shared" si="20"/>
        <v>6.3263913122680412E-2</v>
      </c>
      <c r="G129" s="148">
        <f t="shared" si="20"/>
        <v>0.13594772963209265</v>
      </c>
      <c r="H129" s="148">
        <f t="shared" si="20"/>
        <v>6.701695011972407E-2</v>
      </c>
      <c r="I129" s="148">
        <f t="shared" si="20"/>
        <v>4.227763255792516E-2</v>
      </c>
      <c r="J129" s="148">
        <f t="shared" si="20"/>
        <v>3.749305907631395E-2</v>
      </c>
      <c r="K129" s="148">
        <f t="shared" si="20"/>
        <v>4.575632474524341E-2</v>
      </c>
      <c r="L129" s="148">
        <f t="shared" si="20"/>
        <v>1.2018497424450927E-2</v>
      </c>
      <c r="M129" s="148">
        <f t="shared" si="1"/>
        <v>0.1185498791785458</v>
      </c>
      <c r="N129" s="148">
        <f t="shared" si="1"/>
        <v>0.32608404608114899</v>
      </c>
      <c r="O129" s="148">
        <f t="shared" si="1"/>
        <v>3.2728238421002961E-2</v>
      </c>
    </row>
    <row r="130" spans="1:15">
      <c r="A130">
        <v>7</v>
      </c>
      <c r="B130" s="124" t="s">
        <v>37</v>
      </c>
      <c r="D130" s="148">
        <f t="shared" ref="D130:L130" si="21">D79/$C79</f>
        <v>2.0962536831766521E-3</v>
      </c>
      <c r="E130" s="148">
        <f t="shared" si="21"/>
        <v>8.0154342640662277E-2</v>
      </c>
      <c r="F130" s="148">
        <f t="shared" si="21"/>
        <v>5.833871194050793E-2</v>
      </c>
      <c r="G130" s="148">
        <f t="shared" si="21"/>
        <v>0.15238389224077453</v>
      </c>
      <c r="H130" s="148">
        <f t="shared" si="21"/>
        <v>4.9740423740704365E-2</v>
      </c>
      <c r="I130" s="148">
        <f t="shared" si="21"/>
        <v>7.5639118843833314E-2</v>
      </c>
      <c r="J130" s="148">
        <f t="shared" si="21"/>
        <v>4.038164725691034E-2</v>
      </c>
      <c r="K130" s="148">
        <f t="shared" si="21"/>
        <v>2.8135260277816754E-2</v>
      </c>
      <c r="L130" s="148">
        <f t="shared" si="21"/>
        <v>1.6110565455310789E-2</v>
      </c>
      <c r="M130" s="148">
        <f t="shared" ref="M130:O149" si="22">M79/$C79</f>
        <v>0.12421776343482531</v>
      </c>
      <c r="N130" s="148">
        <f t="shared" si="22"/>
        <v>0.3328834011505542</v>
      </c>
      <c r="O130" s="148">
        <f t="shared" si="22"/>
        <v>3.9918619334923529E-2</v>
      </c>
    </row>
    <row r="131" spans="1:15">
      <c r="A131">
        <v>8</v>
      </c>
      <c r="B131" s="124" t="s">
        <v>39</v>
      </c>
      <c r="D131" s="148">
        <f t="shared" ref="D131:L131" si="23">D80/$C80</f>
        <v>9.0031301395299482E-3</v>
      </c>
      <c r="E131" s="148">
        <f t="shared" si="23"/>
        <v>0.11049657806780201</v>
      </c>
      <c r="F131" s="148">
        <f t="shared" si="23"/>
        <v>6.3090880152793252E-2</v>
      </c>
      <c r="G131" s="148">
        <f t="shared" si="23"/>
        <v>0.13448989336304312</v>
      </c>
      <c r="H131" s="148">
        <f t="shared" si="23"/>
        <v>6.4011353387447609E-2</v>
      </c>
      <c r="I131" s="148">
        <f t="shared" si="23"/>
        <v>3.1436680991034006E-2</v>
      </c>
      <c r="J131" s="148">
        <f t="shared" si="23"/>
        <v>6.0300281182025572E-2</v>
      </c>
      <c r="K131" s="148">
        <f t="shared" si="23"/>
        <v>4.7599342140166589E-2</v>
      </c>
      <c r="L131" s="148">
        <f t="shared" si="23"/>
        <v>9.5840628150034492E-3</v>
      </c>
      <c r="M131" s="148">
        <f t="shared" si="22"/>
        <v>0.13090614886731392</v>
      </c>
      <c r="N131" s="148">
        <f t="shared" si="22"/>
        <v>0.30451217571223937</v>
      </c>
      <c r="O131" s="148">
        <f t="shared" si="22"/>
        <v>3.4569473181601147E-2</v>
      </c>
    </row>
    <row r="132" spans="1:15">
      <c r="A132">
        <v>9</v>
      </c>
      <c r="B132" s="124" t="s">
        <v>41</v>
      </c>
      <c r="D132" s="148">
        <f t="shared" ref="D132:L132" si="24">D81/$C81</f>
        <v>7.1938729383806679E-3</v>
      </c>
      <c r="E132" s="148">
        <f t="shared" si="24"/>
        <v>0.14627649269634624</v>
      </c>
      <c r="F132" s="148">
        <f t="shared" si="24"/>
        <v>5.5445774729745441E-2</v>
      </c>
      <c r="G132" s="148">
        <f t="shared" si="24"/>
        <v>0.1559210611285469</v>
      </c>
      <c r="H132" s="148">
        <f t="shared" si="24"/>
        <v>6.2294160951606031E-2</v>
      </c>
      <c r="I132" s="148">
        <f t="shared" si="24"/>
        <v>4.6637477882392447E-2</v>
      </c>
      <c r="J132" s="148">
        <f t="shared" si="24"/>
        <v>2.8678626318984334E-2</v>
      </c>
      <c r="K132" s="148">
        <f t="shared" si="24"/>
        <v>4.3679853281155152E-2</v>
      </c>
      <c r="L132" s="148">
        <f t="shared" si="24"/>
        <v>9.4572952587598635E-3</v>
      </c>
      <c r="M132" s="148">
        <f t="shared" si="22"/>
        <v>0.11278688312862438</v>
      </c>
      <c r="N132" s="148">
        <f t="shared" si="22"/>
        <v>0.2994853216578196</v>
      </c>
      <c r="O132" s="148">
        <f t="shared" si="22"/>
        <v>3.214318002763894E-2</v>
      </c>
    </row>
    <row r="133" spans="1:15">
      <c r="A133">
        <v>10</v>
      </c>
      <c r="B133" s="124" t="s">
        <v>43</v>
      </c>
      <c r="D133" s="148">
        <f t="shared" ref="D133:L133" si="25">D82/$C82</f>
        <v>2.5135466740258141E-3</v>
      </c>
      <c r="E133" s="148">
        <f t="shared" si="25"/>
        <v>0.17570959212670662</v>
      </c>
      <c r="F133" s="148">
        <f t="shared" si="25"/>
        <v>5.3485588128899447E-2</v>
      </c>
      <c r="G133" s="148">
        <f t="shared" si="25"/>
        <v>0.1120653969650975</v>
      </c>
      <c r="H133" s="148">
        <f t="shared" si="25"/>
        <v>3.881453083569833E-2</v>
      </c>
      <c r="I133" s="148">
        <f t="shared" si="25"/>
        <v>3.168038426683871E-2</v>
      </c>
      <c r="J133" s="148">
        <f t="shared" si="25"/>
        <v>4.4643423196977776E-2</v>
      </c>
      <c r="K133" s="148">
        <f t="shared" si="25"/>
        <v>2.7634096223340184E-2</v>
      </c>
      <c r="L133" s="148">
        <f t="shared" si="25"/>
        <v>1.0076562482518916E-2</v>
      </c>
      <c r="M133" s="148">
        <f t="shared" si="22"/>
        <v>0.13887531838879422</v>
      </c>
      <c r="N133" s="148">
        <f t="shared" si="22"/>
        <v>0.33390267278768737</v>
      </c>
      <c r="O133" s="148">
        <f t="shared" si="22"/>
        <v>3.0598887923415141E-2</v>
      </c>
    </row>
    <row r="134" spans="1:15">
      <c r="A134">
        <v>11</v>
      </c>
      <c r="B134" s="124" t="s">
        <v>45</v>
      </c>
      <c r="D134" s="148">
        <f t="shared" ref="D134:L134" si="26">D83/$C83</f>
        <v>8.606291843639766E-3</v>
      </c>
      <c r="E134" s="148">
        <f t="shared" si="26"/>
        <v>0.11932186307681232</v>
      </c>
      <c r="F134" s="148">
        <f t="shared" si="26"/>
        <v>6.2356921747894319E-2</v>
      </c>
      <c r="G134" s="148">
        <f t="shared" si="26"/>
        <v>0.1229753077532215</v>
      </c>
      <c r="H134" s="148">
        <f t="shared" si="26"/>
        <v>6.6636671225973651E-2</v>
      </c>
      <c r="I134" s="148">
        <f t="shared" si="26"/>
        <v>3.0757324886617234E-2</v>
      </c>
      <c r="J134" s="148">
        <f t="shared" si="26"/>
        <v>6.0913541141746456E-2</v>
      </c>
      <c r="K134" s="148">
        <f t="shared" si="26"/>
        <v>3.5897343603772225E-2</v>
      </c>
      <c r="L134" s="148">
        <f t="shared" si="26"/>
        <v>8.9446404146569722E-3</v>
      </c>
      <c r="M134" s="148">
        <f t="shared" si="22"/>
        <v>0.11378590454250954</v>
      </c>
      <c r="N134" s="148">
        <f t="shared" si="22"/>
        <v>0.33652004895255921</v>
      </c>
      <c r="O134" s="148">
        <f t="shared" si="22"/>
        <v>3.3284140810596788E-2</v>
      </c>
    </row>
    <row r="135" spans="1:15">
      <c r="A135">
        <v>12</v>
      </c>
      <c r="B135" s="124" t="s">
        <v>47</v>
      </c>
      <c r="D135" s="148">
        <f t="shared" ref="D135:L135" si="27">D84/$C84</f>
        <v>4.142579833187568E-3</v>
      </c>
      <c r="E135" s="148">
        <f t="shared" si="27"/>
        <v>0.126248426800913</v>
      </c>
      <c r="F135" s="148">
        <f t="shared" si="27"/>
        <v>6.6059429595341196E-2</v>
      </c>
      <c r="G135" s="148">
        <f t="shared" si="27"/>
        <v>0.12881247466882825</v>
      </c>
      <c r="H135" s="148">
        <f t="shared" si="27"/>
        <v>7.1865867445977949E-2</v>
      </c>
      <c r="I135" s="148">
        <f t="shared" si="27"/>
        <v>3.1873546790673862E-2</v>
      </c>
      <c r="J135" s="148">
        <f t="shared" si="27"/>
        <v>1.6612982358838714E-2</v>
      </c>
      <c r="K135" s="148">
        <f t="shared" si="27"/>
        <v>4.2705689114528891E-2</v>
      </c>
      <c r="L135" s="148">
        <f t="shared" si="27"/>
        <v>1.2764777405661384E-2</v>
      </c>
      <c r="M135" s="148">
        <f t="shared" si="22"/>
        <v>9.3709336803259449E-2</v>
      </c>
      <c r="N135" s="148">
        <f t="shared" si="22"/>
        <v>0.37155656050683677</v>
      </c>
      <c r="O135" s="148">
        <f t="shared" si="22"/>
        <v>3.3648328675952986E-2</v>
      </c>
    </row>
    <row r="136" spans="1:15">
      <c r="A136">
        <v>13</v>
      </c>
      <c r="B136" s="124" t="s">
        <v>63</v>
      </c>
      <c r="D136" s="148">
        <f t="shared" ref="D136:L136" si="28">D85/$C85</f>
        <v>9.1805407958436645E-3</v>
      </c>
      <c r="E136" s="148">
        <f t="shared" si="28"/>
        <v>7.9737867516826072E-2</v>
      </c>
      <c r="F136" s="148">
        <f t="shared" si="28"/>
        <v>6.0048411855000587E-2</v>
      </c>
      <c r="G136" s="148">
        <f t="shared" si="28"/>
        <v>0.1506789467469595</v>
      </c>
      <c r="H136" s="148">
        <f t="shared" si="28"/>
        <v>4.2814972251741648E-2</v>
      </c>
      <c r="I136" s="148">
        <f t="shared" si="28"/>
        <v>5.1995513047585311E-2</v>
      </c>
      <c r="J136" s="148">
        <f t="shared" si="28"/>
        <v>1.7268862911795961E-2</v>
      </c>
      <c r="K136" s="148">
        <f t="shared" si="28"/>
        <v>2.6892195064352344E-2</v>
      </c>
      <c r="L136" s="148">
        <f t="shared" si="28"/>
        <v>1.526744597945448E-2</v>
      </c>
      <c r="M136" s="148">
        <f t="shared" si="22"/>
        <v>9.4615657102373366E-2</v>
      </c>
      <c r="N136" s="148">
        <f t="shared" si="22"/>
        <v>0.41264021726295902</v>
      </c>
      <c r="O136" s="148">
        <f t="shared" si="22"/>
        <v>3.885936946510804E-2</v>
      </c>
    </row>
    <row r="137" spans="1:15">
      <c r="A137">
        <v>14</v>
      </c>
      <c r="B137" s="124" t="s">
        <v>64</v>
      </c>
      <c r="D137" s="148">
        <f t="shared" ref="D137:L137" si="29">D86/$C86</f>
        <v>4.8561103287008741E-3</v>
      </c>
      <c r="E137" s="148">
        <f t="shared" si="29"/>
        <v>0.14165758775542742</v>
      </c>
      <c r="F137" s="148">
        <f t="shared" si="29"/>
        <v>6.8384130948901237E-2</v>
      </c>
      <c r="G137" s="148">
        <f t="shared" si="29"/>
        <v>0.13553928732761142</v>
      </c>
      <c r="H137" s="148">
        <f t="shared" si="29"/>
        <v>8.5510057662158218E-2</v>
      </c>
      <c r="I137" s="148">
        <f t="shared" si="29"/>
        <v>3.1215954082852816E-2</v>
      </c>
      <c r="J137" s="148">
        <f t="shared" si="29"/>
        <v>9.8915845135917942E-3</v>
      </c>
      <c r="K137" s="148">
        <f t="shared" si="29"/>
        <v>1.8168894321473176E-2</v>
      </c>
      <c r="L137" s="148">
        <f t="shared" si="29"/>
        <v>1.1738367921770786E-2</v>
      </c>
      <c r="M137" s="148">
        <f t="shared" si="22"/>
        <v>9.0226662769377936E-2</v>
      </c>
      <c r="N137" s="148">
        <f t="shared" si="22"/>
        <v>0.37640501687348871</v>
      </c>
      <c r="O137" s="148">
        <f t="shared" si="22"/>
        <v>2.6406345494645656E-2</v>
      </c>
    </row>
    <row r="138" spans="1:15">
      <c r="A138">
        <v>15</v>
      </c>
      <c r="B138" s="124" t="s">
        <v>49</v>
      </c>
      <c r="D138" s="148">
        <f t="shared" ref="D138:L138" si="30">D87/$C87</f>
        <v>6.2744404922342751E-3</v>
      </c>
      <c r="E138" s="148">
        <f t="shared" si="30"/>
        <v>5.6514150630758014E-2</v>
      </c>
      <c r="F138" s="148">
        <f t="shared" si="30"/>
        <v>5.5144378410622363E-2</v>
      </c>
      <c r="G138" s="148">
        <f t="shared" si="30"/>
        <v>0.13479884232154299</v>
      </c>
      <c r="H138" s="148">
        <f t="shared" si="30"/>
        <v>4.5162715683891921E-2</v>
      </c>
      <c r="I138" s="148">
        <f t="shared" si="30"/>
        <v>4.6629697545456553E-2</v>
      </c>
      <c r="J138" s="148">
        <f t="shared" si="30"/>
        <v>4.779179462253938E-2</v>
      </c>
      <c r="K138" s="148">
        <f t="shared" si="30"/>
        <v>3.429291032410578E-2</v>
      </c>
      <c r="L138" s="148">
        <f t="shared" si="30"/>
        <v>1.2703532686741931E-2</v>
      </c>
      <c r="M138" s="148">
        <f t="shared" si="22"/>
        <v>0.13477233060115326</v>
      </c>
      <c r="N138" s="148">
        <f t="shared" si="22"/>
        <v>0.38323575547356559</v>
      </c>
      <c r="O138" s="148">
        <f t="shared" si="22"/>
        <v>4.2679451207387933E-2</v>
      </c>
    </row>
    <row r="139" spans="1:15">
      <c r="A139">
        <v>16</v>
      </c>
      <c r="B139" s="124" t="s">
        <v>65</v>
      </c>
      <c r="D139" s="148">
        <f t="shared" ref="D139:L139" si="31">D88/$C88</f>
        <v>3.112246729777278E-2</v>
      </c>
      <c r="E139" s="148">
        <f t="shared" si="31"/>
        <v>0.10278612204842204</v>
      </c>
      <c r="F139" s="148">
        <f t="shared" si="31"/>
        <v>6.636786864056872E-2</v>
      </c>
      <c r="G139" s="148">
        <f t="shared" si="31"/>
        <v>0.17993704896058979</v>
      </c>
      <c r="H139" s="148">
        <f t="shared" si="31"/>
        <v>7.8712735019208446E-2</v>
      </c>
      <c r="I139" s="148">
        <f t="shared" si="31"/>
        <v>4.2587694627619473E-2</v>
      </c>
      <c r="J139" s="148">
        <f t="shared" si="31"/>
        <v>1.1339564608590542E-2</v>
      </c>
      <c r="K139" s="148">
        <f t="shared" si="31"/>
        <v>2.4964993956221503E-2</v>
      </c>
      <c r="L139" s="148">
        <f t="shared" si="31"/>
        <v>1.0579604341946216E-2</v>
      </c>
      <c r="M139" s="148">
        <f t="shared" si="22"/>
        <v>8.5259164402743032E-2</v>
      </c>
      <c r="N139" s="148">
        <f t="shared" si="22"/>
        <v>0.3306485393204639</v>
      </c>
      <c r="O139" s="148">
        <f t="shared" si="22"/>
        <v>3.5694196775853608E-2</v>
      </c>
    </row>
    <row r="140" spans="1:15">
      <c r="A140">
        <v>6</v>
      </c>
      <c r="B140" s="124" t="s">
        <v>234</v>
      </c>
      <c r="D140" s="148">
        <f t="shared" ref="D140:L140" si="32">D89/$C89</f>
        <v>2.0426099179462094E-3</v>
      </c>
      <c r="E140" s="148">
        <f t="shared" si="32"/>
        <v>7.8288400394546237E-2</v>
      </c>
      <c r="F140" s="148">
        <f t="shared" si="32"/>
        <v>5.830038728959102E-2</v>
      </c>
      <c r="G140" s="148">
        <f t="shared" si="32"/>
        <v>0.15111819454784411</v>
      </c>
      <c r="H140" s="148">
        <f t="shared" si="32"/>
        <v>5.0060068857455391E-2</v>
      </c>
      <c r="I140" s="148">
        <f t="shared" si="32"/>
        <v>7.8379780311928035E-2</v>
      </c>
      <c r="J140" s="148">
        <f t="shared" si="32"/>
        <v>3.8876779556699895E-2</v>
      </c>
      <c r="K140" s="148">
        <f t="shared" si="32"/>
        <v>2.7795620751841707E-2</v>
      </c>
      <c r="L140" s="148">
        <f t="shared" si="32"/>
        <v>1.6499450376673396E-2</v>
      </c>
      <c r="M140" s="148">
        <f t="shared" si="22"/>
        <v>0.12198412677082185</v>
      </c>
      <c r="N140" s="148">
        <f t="shared" si="22"/>
        <v>0.33651460869238026</v>
      </c>
      <c r="O140" s="148">
        <f t="shared" si="22"/>
        <v>4.0139972532271896E-2</v>
      </c>
    </row>
    <row r="141" spans="1:15">
      <c r="A141">
        <v>13</v>
      </c>
      <c r="B141" s="124" t="s">
        <v>235</v>
      </c>
      <c r="D141" s="148">
        <f t="shared" ref="D141:L141" si="33">D90/$C90</f>
        <v>6.5337829700108391E-3</v>
      </c>
      <c r="E141" s="148">
        <f t="shared" si="33"/>
        <v>0.10416826338782258</v>
      </c>
      <c r="F141" s="148">
        <f t="shared" si="33"/>
        <v>5.6417176705024469E-2</v>
      </c>
      <c r="G141" s="148">
        <f t="shared" si="33"/>
        <v>0.13290924419432187</v>
      </c>
      <c r="H141" s="148">
        <f t="shared" si="33"/>
        <v>7.6408581783145191E-2</v>
      </c>
      <c r="I141" s="148">
        <f t="shared" si="33"/>
        <v>4.2168493315669034E-2</v>
      </c>
      <c r="J141" s="148">
        <f t="shared" si="33"/>
        <v>2.7885594472972529E-2</v>
      </c>
      <c r="K141" s="148">
        <f t="shared" si="33"/>
        <v>3.3347749444341039E-2</v>
      </c>
      <c r="L141" s="148">
        <f t="shared" si="33"/>
        <v>1.202604754031949E-2</v>
      </c>
      <c r="M141" s="148">
        <f t="shared" si="22"/>
        <v>0.1315611553326837</v>
      </c>
      <c r="N141" s="148">
        <f t="shared" si="22"/>
        <v>0.33990999967153163</v>
      </c>
      <c r="O141" s="148">
        <f t="shared" si="22"/>
        <v>3.6663911182157602E-2</v>
      </c>
    </row>
    <row r="142" spans="1:15">
      <c r="A142">
        <v>31</v>
      </c>
      <c r="B142" s="124" t="s">
        <v>236</v>
      </c>
      <c r="D142" s="148">
        <f t="shared" ref="D142:L142" si="34">D91/$C91</f>
        <v>2.8313646011742829E-3</v>
      </c>
      <c r="E142" s="148">
        <f t="shared" si="34"/>
        <v>0.13885530899663281</v>
      </c>
      <c r="F142" s="148">
        <f t="shared" si="34"/>
        <v>5.971058415225447E-2</v>
      </c>
      <c r="G142" s="148">
        <f t="shared" si="34"/>
        <v>0.11632847589485974</v>
      </c>
      <c r="H142" s="148">
        <f t="shared" si="34"/>
        <v>5.8665272918354799E-2</v>
      </c>
      <c r="I142" s="148">
        <f t="shared" si="34"/>
        <v>3.6332085602717806E-2</v>
      </c>
      <c r="J142" s="148">
        <f t="shared" si="34"/>
        <v>5.0421226586250395E-2</v>
      </c>
      <c r="K142" s="148">
        <f t="shared" si="34"/>
        <v>3.0891203029146511E-2</v>
      </c>
      <c r="L142" s="148">
        <f t="shared" si="34"/>
        <v>1.0171103912584908E-2</v>
      </c>
      <c r="M142" s="148">
        <f t="shared" si="22"/>
        <v>0.15186153762274418</v>
      </c>
      <c r="N142" s="148">
        <f t="shared" si="22"/>
        <v>0.30992726062654752</v>
      </c>
      <c r="O142" s="148">
        <f t="shared" si="22"/>
        <v>3.4004576056732579E-2</v>
      </c>
    </row>
    <row r="143" spans="1:15">
      <c r="A143">
        <v>33</v>
      </c>
      <c r="B143" s="124" t="s">
        <v>114</v>
      </c>
      <c r="D143" s="148">
        <f t="shared" ref="D143:L143" si="35">D92/$C92</f>
        <v>3.595054259960781E-2</v>
      </c>
      <c r="E143" s="148">
        <f t="shared" si="35"/>
        <v>0.10408354953704636</v>
      </c>
      <c r="F143" s="148">
        <f t="shared" si="35"/>
        <v>6.1949916417506003E-2</v>
      </c>
      <c r="G143" s="148">
        <f t="shared" si="35"/>
        <v>0.14013845582028939</v>
      </c>
      <c r="H143" s="148">
        <f t="shared" si="35"/>
        <v>6.156358769387385E-2</v>
      </c>
      <c r="I143" s="148">
        <f t="shared" si="35"/>
        <v>4.1798570766816742E-2</v>
      </c>
      <c r="J143" s="148">
        <f t="shared" si="35"/>
        <v>3.2350910985101629E-2</v>
      </c>
      <c r="K143" s="148">
        <f t="shared" si="35"/>
        <v>4.1725333094090267E-2</v>
      </c>
      <c r="L143" s="148">
        <f t="shared" si="35"/>
        <v>1.1115647778060556E-2</v>
      </c>
      <c r="M143" s="148">
        <f t="shared" si="22"/>
        <v>0.10843020541336258</v>
      </c>
      <c r="N143" s="148">
        <f t="shared" si="22"/>
        <v>0.32902207566550157</v>
      </c>
      <c r="O143" s="148">
        <f t="shared" si="22"/>
        <v>3.1871204228743226E-2</v>
      </c>
    </row>
    <row r="144" spans="1:15">
      <c r="A144">
        <v>34</v>
      </c>
      <c r="B144" s="124" t="s">
        <v>237</v>
      </c>
      <c r="D144" s="148">
        <f t="shared" ref="D144:L144" si="36">D93/$C93</f>
        <v>1.2092305934768949E-2</v>
      </c>
      <c r="E144" s="148">
        <f t="shared" si="36"/>
        <v>6.7944250871080136E-2</v>
      </c>
      <c r="F144" s="148">
        <f t="shared" si="36"/>
        <v>5.8759353401496545E-2</v>
      </c>
      <c r="G144" s="148">
        <f t="shared" si="36"/>
        <v>0.14936882389901182</v>
      </c>
      <c r="H144" s="148">
        <f t="shared" si="36"/>
        <v>4.8800479808076766E-2</v>
      </c>
      <c r="I144" s="148">
        <f t="shared" si="36"/>
        <v>4.9608727937396471E-2</v>
      </c>
      <c r="J144" s="148">
        <f t="shared" si="36"/>
        <v>3.3066773290683728E-2</v>
      </c>
      <c r="K144" s="148">
        <f t="shared" si="36"/>
        <v>3.1090420974467355E-2</v>
      </c>
      <c r="L144" s="148">
        <f t="shared" si="36"/>
        <v>1.2475009996001599E-2</v>
      </c>
      <c r="M144" s="148">
        <f t="shared" si="22"/>
        <v>0.11164105786256925</v>
      </c>
      <c r="N144" s="148">
        <f t="shared" si="22"/>
        <v>0.3841263494602159</v>
      </c>
      <c r="O144" s="148">
        <f t="shared" si="22"/>
        <v>4.1026446564231447E-2</v>
      </c>
    </row>
    <row r="145" spans="1:15">
      <c r="A145">
        <v>35</v>
      </c>
      <c r="B145" s="124" t="s">
        <v>238</v>
      </c>
      <c r="D145" s="148">
        <f t="shared" ref="D145:L145" si="37">D94/$C94</f>
        <v>1.1217206865798897E-2</v>
      </c>
      <c r="E145" s="148">
        <f t="shared" si="37"/>
        <v>0.15034823294338567</v>
      </c>
      <c r="F145" s="148">
        <f t="shared" si="37"/>
        <v>6.3288689425382946E-2</v>
      </c>
      <c r="G145" s="148">
        <f t="shared" si="37"/>
        <v>0.12861211583877979</v>
      </c>
      <c r="H145" s="148">
        <f t="shared" si="37"/>
        <v>6.4379287528213008E-2</v>
      </c>
      <c r="I145" s="148">
        <f t="shared" si="37"/>
        <v>3.3983769180272988E-2</v>
      </c>
      <c r="J145" s="148">
        <f t="shared" si="37"/>
        <v>4.5619430953632578E-2</v>
      </c>
      <c r="K145" s="148">
        <f t="shared" si="37"/>
        <v>3.1049354141003613E-2</v>
      </c>
      <c r="L145" s="148">
        <f t="shared" si="37"/>
        <v>8.149409324744547E-3</v>
      </c>
      <c r="M145" s="148">
        <f t="shared" si="22"/>
        <v>0.10314390402736695</v>
      </c>
      <c r="N145" s="148">
        <f t="shared" si="22"/>
        <v>0.32882448170436684</v>
      </c>
      <c r="O145" s="148">
        <f t="shared" si="22"/>
        <v>3.1384118067052165E-2</v>
      </c>
    </row>
    <row r="146" spans="1:15">
      <c r="A146">
        <v>38</v>
      </c>
      <c r="B146" s="124" t="s">
        <v>239</v>
      </c>
      <c r="D146" s="148">
        <f t="shared" ref="D146:L146" si="38">D95/$C95</f>
        <v>3.9849774949112697E-3</v>
      </c>
      <c r="E146" s="148">
        <f t="shared" si="38"/>
        <v>0.19012021826591363</v>
      </c>
      <c r="F146" s="148">
        <f t="shared" si="38"/>
        <v>6.4106055827910138E-2</v>
      </c>
      <c r="G146" s="148">
        <f t="shared" si="38"/>
        <v>0.1293134753399654</v>
      </c>
      <c r="H146" s="148">
        <f t="shared" si="38"/>
        <v>5.4487638924725017E-2</v>
      </c>
      <c r="I146" s="148">
        <f t="shared" si="38"/>
        <v>3.5587664726737578E-2</v>
      </c>
      <c r="J146" s="148">
        <f t="shared" si="38"/>
        <v>3.125627132249649E-2</v>
      </c>
      <c r="K146" s="148">
        <f t="shared" si="38"/>
        <v>2.4896553042248408E-2</v>
      </c>
      <c r="L146" s="148">
        <f t="shared" si="38"/>
        <v>9.0760968244411946E-3</v>
      </c>
      <c r="M146" s="148">
        <f t="shared" si="22"/>
        <v>0.11628345899869079</v>
      </c>
      <c r="N146" s="148">
        <f t="shared" si="22"/>
        <v>0.31209923262903394</v>
      </c>
      <c r="O146" s="148">
        <f t="shared" si="22"/>
        <v>2.8788356602926141E-2</v>
      </c>
    </row>
    <row r="147" spans="1:15">
      <c r="A147">
        <v>44</v>
      </c>
      <c r="B147" s="124" t="s">
        <v>240</v>
      </c>
      <c r="D147" s="148">
        <f t="shared" ref="D147:L147" si="39">D96/$C96</f>
        <v>1.0232359837987636E-2</v>
      </c>
      <c r="E147" s="148">
        <f t="shared" si="39"/>
        <v>0.14173318490095296</v>
      </c>
      <c r="F147" s="148">
        <f t="shared" si="39"/>
        <v>6.7037352850612283E-2</v>
      </c>
      <c r="G147" s="148">
        <f t="shared" si="39"/>
        <v>0.13683017914525056</v>
      </c>
      <c r="H147" s="148">
        <f t="shared" si="39"/>
        <v>6.1435609559676925E-2</v>
      </c>
      <c r="I147" s="148">
        <f t="shared" si="39"/>
        <v>3.4332883298988606E-2</v>
      </c>
      <c r="J147" s="148">
        <f t="shared" si="39"/>
        <v>4.6387092699179677E-2</v>
      </c>
      <c r="K147" s="148">
        <f t="shared" si="39"/>
        <v>3.9857647030957628E-2</v>
      </c>
      <c r="L147" s="148">
        <f t="shared" si="39"/>
        <v>8.9454195188580186E-3</v>
      </c>
      <c r="M147" s="148">
        <f t="shared" si="22"/>
        <v>0.11725171131481087</v>
      </c>
      <c r="N147" s="148">
        <f t="shared" si="22"/>
        <v>0.30220990549278759</v>
      </c>
      <c r="O147" s="148">
        <f t="shared" si="22"/>
        <v>3.3746654349937233E-2</v>
      </c>
    </row>
    <row r="148" spans="1:15">
      <c r="A148">
        <v>59</v>
      </c>
      <c r="B148" s="124" t="s">
        <v>241</v>
      </c>
      <c r="D148" s="148">
        <f t="shared" ref="D148:L148" si="40">D97/$C97</f>
        <v>6.1651317126780571E-3</v>
      </c>
      <c r="E148" s="148">
        <f t="shared" si="40"/>
        <v>0.14413117434590408</v>
      </c>
      <c r="F148" s="148">
        <f t="shared" si="40"/>
        <v>5.4517857661404712E-2</v>
      </c>
      <c r="G148" s="148">
        <f t="shared" si="40"/>
        <v>0.14060967791654289</v>
      </c>
      <c r="H148" s="148">
        <f t="shared" si="40"/>
        <v>5.6299268002296288E-2</v>
      </c>
      <c r="I148" s="148">
        <f t="shared" si="40"/>
        <v>3.0269456463224764E-2</v>
      </c>
      <c r="J148" s="148">
        <f t="shared" si="40"/>
        <v>2.7766547012479926E-2</v>
      </c>
      <c r="K148" s="148">
        <f t="shared" si="40"/>
        <v>3.7095776214653806E-2</v>
      </c>
      <c r="L148" s="148">
        <f t="shared" si="40"/>
        <v>9.2733856178199119E-3</v>
      </c>
      <c r="M148" s="148">
        <f t="shared" si="22"/>
        <v>0.10550081643320325</v>
      </c>
      <c r="N148" s="148">
        <f t="shared" si="22"/>
        <v>0.36036870168133861</v>
      </c>
      <c r="O148" s="148">
        <f t="shared" si="22"/>
        <v>2.8002206938453667E-2</v>
      </c>
    </row>
    <row r="149" spans="1:15">
      <c r="A149">
        <v>62</v>
      </c>
      <c r="B149" s="124" t="s">
        <v>247</v>
      </c>
      <c r="D149" s="148">
        <f t="shared" ref="D149:L149" si="41">D98/$C98</f>
        <v>1.2143639553707312E-2</v>
      </c>
      <c r="E149" s="148">
        <f t="shared" si="41"/>
        <v>0.1626244414071209</v>
      </c>
      <c r="F149" s="148">
        <f t="shared" si="41"/>
        <v>6.6745184711276551E-2</v>
      </c>
      <c r="G149" s="148">
        <f t="shared" si="41"/>
        <v>0.13873944610851</v>
      </c>
      <c r="H149" s="148">
        <f t="shared" si="41"/>
        <v>6.4203041847209708E-2</v>
      </c>
      <c r="I149" s="148">
        <f t="shared" si="41"/>
        <v>3.3532536520584327E-2</v>
      </c>
      <c r="J149" s="148">
        <f t="shared" si="41"/>
        <v>6.783086631575886E-3</v>
      </c>
      <c r="K149" s="148">
        <f t="shared" si="41"/>
        <v>2.1182908269598007E-2</v>
      </c>
      <c r="L149" s="148">
        <f t="shared" si="41"/>
        <v>8.789658882717306E-3</v>
      </c>
      <c r="M149" s="148">
        <f t="shared" si="22"/>
        <v>7.705431316098138E-2</v>
      </c>
      <c r="N149" s="148">
        <f t="shared" si="22"/>
        <v>0.3816655519043049</v>
      </c>
      <c r="O149" s="148">
        <f t="shared" si="22"/>
        <v>2.6536191002413702E-2</v>
      </c>
    </row>
    <row r="150" spans="1:15">
      <c r="A150">
        <v>67</v>
      </c>
      <c r="B150" s="124" t="s">
        <v>242</v>
      </c>
      <c r="D150" s="148">
        <f t="shared" ref="D150:L150" si="42">D99/$C99</f>
        <v>8.4705341352986213E-3</v>
      </c>
      <c r="E150" s="148">
        <f t="shared" si="42"/>
        <v>0.18779000511216182</v>
      </c>
      <c r="F150" s="148">
        <f t="shared" si="42"/>
        <v>6.0729547072247814E-2</v>
      </c>
      <c r="G150" s="148">
        <f t="shared" si="42"/>
        <v>0.15381492017444948</v>
      </c>
      <c r="H150" s="148">
        <f t="shared" si="42"/>
        <v>5.7021395253272149E-2</v>
      </c>
      <c r="I150" s="148">
        <f t="shared" si="42"/>
        <v>4.4446455608579627E-2</v>
      </c>
      <c r="J150" s="148">
        <f t="shared" si="42"/>
        <v>2.2968037981650029E-2</v>
      </c>
      <c r="K150" s="148">
        <f t="shared" si="42"/>
        <v>3.7277199024531041E-2</v>
      </c>
      <c r="L150" s="148">
        <f t="shared" si="42"/>
        <v>7.8932756727140198E-3</v>
      </c>
      <c r="M150" s="148">
        <f t="shared" ref="M150:O157" si="43">M99/$C99</f>
        <v>9.7789051168092278E-2</v>
      </c>
      <c r="N150" s="148">
        <f t="shared" si="43"/>
        <v>0.29052488937917809</v>
      </c>
      <c r="O150" s="148">
        <f t="shared" si="43"/>
        <v>3.1274689417825054E-2</v>
      </c>
    </row>
    <row r="151" spans="1:15">
      <c r="A151">
        <v>69</v>
      </c>
      <c r="B151" s="124" t="s">
        <v>243</v>
      </c>
      <c r="D151" s="148">
        <f t="shared" ref="D151:L151" si="44">D100/$C100</f>
        <v>2.9883207824698589E-3</v>
      </c>
      <c r="E151" s="148">
        <f t="shared" si="44"/>
        <v>0.13438643249563129</v>
      </c>
      <c r="F151" s="148">
        <f t="shared" si="44"/>
        <v>5.7665665111952029E-2</v>
      </c>
      <c r="G151" s="148">
        <f t="shared" si="44"/>
        <v>0.13247551638736282</v>
      </c>
      <c r="H151" s="148">
        <f t="shared" si="44"/>
        <v>6.5199954741460592E-2</v>
      </c>
      <c r="I151" s="148">
        <f t="shared" si="44"/>
        <v>4.0647197113510933E-2</v>
      </c>
      <c r="J151" s="148">
        <f t="shared" si="44"/>
        <v>4.6092050840425933E-2</v>
      </c>
      <c r="K151" s="148">
        <f t="shared" si="44"/>
        <v>3.8834341173956226E-2</v>
      </c>
      <c r="L151" s="148">
        <f t="shared" si="44"/>
        <v>1.208654438479816E-2</v>
      </c>
      <c r="M151" s="148">
        <f t="shared" si="43"/>
        <v>0.14601787712306552</v>
      </c>
      <c r="N151" s="148">
        <f t="shared" si="43"/>
        <v>0.29030838665878833</v>
      </c>
      <c r="O151" s="148">
        <f t="shared" si="43"/>
        <v>3.3297713186578329E-2</v>
      </c>
    </row>
    <row r="152" spans="1:15">
      <c r="A152">
        <v>76</v>
      </c>
      <c r="B152" s="124" t="s">
        <v>244</v>
      </c>
      <c r="D152" s="148">
        <f t="shared" ref="D152:L152" si="45">D101/$C101</f>
        <v>7.4675810330345534E-3</v>
      </c>
      <c r="E152" s="148">
        <f t="shared" si="45"/>
        <v>0.1763660840649415</v>
      </c>
      <c r="F152" s="148">
        <f t="shared" si="45"/>
        <v>6.6186470906350325E-2</v>
      </c>
      <c r="G152" s="148">
        <f t="shared" si="45"/>
        <v>0.12061121402846656</v>
      </c>
      <c r="H152" s="148">
        <f t="shared" si="45"/>
        <v>8.1858035416355043E-2</v>
      </c>
      <c r="I152" s="148">
        <f t="shared" si="45"/>
        <v>3.0309864340862282E-2</v>
      </c>
      <c r="J152" s="148">
        <f t="shared" si="45"/>
        <v>1.1683485024565926E-2</v>
      </c>
      <c r="K152" s="148">
        <f t="shared" si="45"/>
        <v>3.366049546076931E-2</v>
      </c>
      <c r="L152" s="148">
        <f t="shared" si="45"/>
        <v>1.1011517794474681E-2</v>
      </c>
      <c r="M152" s="148">
        <f t="shared" si="43"/>
        <v>8.66676638783095E-2</v>
      </c>
      <c r="N152" s="148">
        <f t="shared" si="43"/>
        <v>0.34221081821215293</v>
      </c>
      <c r="O152" s="148">
        <f t="shared" si="43"/>
        <v>3.1966769839717406E-2</v>
      </c>
    </row>
    <row r="153" spans="1:15">
      <c r="A153">
        <v>83</v>
      </c>
      <c r="B153" s="124" t="s">
        <v>245</v>
      </c>
      <c r="D153" s="148">
        <f t="shared" ref="D153:L153" si="46">D102/$C102</f>
        <v>1.3812001259002796E-2</v>
      </c>
      <c r="E153" s="148">
        <f t="shared" si="46"/>
        <v>7.3596119309029637E-2</v>
      </c>
      <c r="F153" s="148">
        <f t="shared" si="46"/>
        <v>7.1552091240673202E-2</v>
      </c>
      <c r="G153" s="148">
        <f t="shared" si="46"/>
        <v>0.16743996593286553</v>
      </c>
      <c r="H153" s="148">
        <f t="shared" si="46"/>
        <v>4.5409268482346186E-2</v>
      </c>
      <c r="I153" s="148">
        <f t="shared" si="46"/>
        <v>6.1835552017181689E-2</v>
      </c>
      <c r="J153" s="148">
        <f t="shared" si="46"/>
        <v>1.1375460554331526E-2</v>
      </c>
      <c r="K153" s="148">
        <f t="shared" si="46"/>
        <v>3.0356779174612578E-2</v>
      </c>
      <c r="L153" s="148">
        <f t="shared" si="46"/>
        <v>1.5985632556331116E-2</v>
      </c>
      <c r="M153" s="148">
        <f t="shared" si="43"/>
        <v>8.3579270889263299E-2</v>
      </c>
      <c r="N153" s="148">
        <f t="shared" si="43"/>
        <v>0.38554738849493619</v>
      </c>
      <c r="O153" s="148">
        <f t="shared" si="43"/>
        <v>3.9510470089426229E-2</v>
      </c>
    </row>
    <row r="154" spans="1:15">
      <c r="A154">
        <v>84</v>
      </c>
      <c r="B154" s="124" t="s">
        <v>246</v>
      </c>
      <c r="D154" s="148">
        <f t="shared" ref="D154:L154" si="47">D103/$C103</f>
        <v>2.8941308271612624E-2</v>
      </c>
      <c r="E154" s="148">
        <f t="shared" si="47"/>
        <v>0.11094451077024052</v>
      </c>
      <c r="F154" s="148">
        <f t="shared" si="47"/>
        <v>6.6681000582786851E-2</v>
      </c>
      <c r="G154" s="148">
        <f t="shared" si="47"/>
        <v>0.17791973384181015</v>
      </c>
      <c r="H154" s="148">
        <f t="shared" si="47"/>
        <v>6.570780311989001E-2</v>
      </c>
      <c r="I154" s="148">
        <f t="shared" si="47"/>
        <v>4.2962141487068353E-2</v>
      </c>
      <c r="J154" s="148">
        <f t="shared" si="47"/>
        <v>1.0897548334530971E-2</v>
      </c>
      <c r="K154" s="148">
        <f t="shared" si="47"/>
        <v>2.581802339068786E-2</v>
      </c>
      <c r="L154" s="148">
        <f t="shared" si="47"/>
        <v>1.0727804591002451E-2</v>
      </c>
      <c r="M154" s="148">
        <f t="shared" si="43"/>
        <v>8.4713444270299934E-2</v>
      </c>
      <c r="N154" s="148">
        <f t="shared" si="43"/>
        <v>0.33927813644002103</v>
      </c>
      <c r="O154" s="148">
        <f t="shared" si="43"/>
        <v>3.5408544900049223E-2</v>
      </c>
    </row>
    <row r="155" spans="1:15">
      <c r="A155">
        <v>72</v>
      </c>
      <c r="B155" s="124" t="s">
        <v>74</v>
      </c>
      <c r="D155" s="148">
        <f t="shared" ref="D155:L155" si="48">D104/$C104</f>
        <v>2.8736009893392402E-2</v>
      </c>
      <c r="E155" s="148">
        <f t="shared" si="48"/>
        <v>0.13103746400362115</v>
      </c>
      <c r="F155" s="148">
        <f t="shared" si="48"/>
        <v>6.5271582322596056E-2</v>
      </c>
      <c r="G155" s="148">
        <f t="shared" si="48"/>
        <v>0.1464505325751608</v>
      </c>
      <c r="H155" s="148">
        <f t="shared" si="48"/>
        <v>5.6376970833560892E-2</v>
      </c>
      <c r="I155" s="148">
        <f t="shared" si="48"/>
        <v>4.0878742072928596E-2</v>
      </c>
      <c r="J155" s="148">
        <f t="shared" si="48"/>
        <v>2.1188225307942021E-2</v>
      </c>
      <c r="K155" s="148">
        <f t="shared" si="48"/>
        <v>3.3934484044960876E-2</v>
      </c>
      <c r="L155" s="148">
        <f t="shared" si="48"/>
        <v>9.7332542207518719E-3</v>
      </c>
      <c r="M155" s="148">
        <f t="shared" si="43"/>
        <v>9.1851743516023543E-2</v>
      </c>
      <c r="N155" s="148">
        <f t="shared" si="43"/>
        <v>0.3422439894956758</v>
      </c>
      <c r="O155" s="148">
        <f t="shared" si="43"/>
        <v>3.2297001713385981E-2</v>
      </c>
    </row>
    <row r="156" spans="1:15">
      <c r="A156">
        <v>243300316</v>
      </c>
      <c r="B156" s="124" t="s">
        <v>411</v>
      </c>
      <c r="D156" s="148">
        <f t="shared" ref="D156:L157" si="49">D105/$C105</f>
        <v>2.3804762063486772E-3</v>
      </c>
      <c r="E156" s="148">
        <f t="shared" si="49"/>
        <v>9.1746941768607718E-2</v>
      </c>
      <c r="F156" s="148">
        <f t="shared" si="49"/>
        <v>5.4403742097485643E-2</v>
      </c>
      <c r="G156" s="148">
        <f t="shared" si="49"/>
        <v>0.12754019310467429</v>
      </c>
      <c r="H156" s="148">
        <f t="shared" si="49"/>
        <v>6.3650656089241475E-2</v>
      </c>
      <c r="I156" s="148">
        <f t="shared" si="49"/>
        <v>4.3884648289501463E-2</v>
      </c>
      <c r="J156" s="148">
        <f t="shared" si="49"/>
        <v>4.3937424308078621E-2</v>
      </c>
      <c r="K156" s="148">
        <f t="shared" si="49"/>
        <v>5.3006566447785071E-2</v>
      </c>
      <c r="L156" s="148">
        <f t="shared" si="49"/>
        <v>1.3482883903869871E-2</v>
      </c>
      <c r="M156" s="148">
        <f t="shared" si="43"/>
        <v>0.12073764207859738</v>
      </c>
      <c r="N156" s="148">
        <f t="shared" si="43"/>
        <v>0.35032165594480186</v>
      </c>
      <c r="O156" s="148">
        <f t="shared" si="43"/>
        <v>3.4907169761007967E-2</v>
      </c>
    </row>
    <row r="157" spans="1:15">
      <c r="A157" s="56" t="s">
        <v>1413</v>
      </c>
      <c r="B157" s="124" t="s">
        <v>1406</v>
      </c>
      <c r="D157" s="148">
        <f t="shared" si="49"/>
        <v>2.6776722492995918E-2</v>
      </c>
      <c r="E157" s="148">
        <f t="shared" si="49"/>
        <v>0.14167328275501992</v>
      </c>
      <c r="F157" s="148">
        <f t="shared" si="49"/>
        <v>6.3789498047468973E-2</v>
      </c>
      <c r="G157" s="148">
        <f t="shared" si="49"/>
        <v>0.142291741237832</v>
      </c>
      <c r="H157" s="148">
        <f t="shared" si="49"/>
        <v>5.4861950270340097E-2</v>
      </c>
      <c r="I157" s="148">
        <f t="shared" si="49"/>
        <v>3.7451994111457089E-2</v>
      </c>
      <c r="J157" s="148">
        <f t="shared" si="49"/>
        <v>1.7047708500978285E-2</v>
      </c>
      <c r="K157" s="148">
        <f t="shared" si="49"/>
        <v>3.6519731193937061E-2</v>
      </c>
      <c r="L157" s="148">
        <f t="shared" si="49"/>
        <v>8.6761812745412021E-3</v>
      </c>
      <c r="M157" s="148">
        <f t="shared" si="43"/>
        <v>8.37723276161359E-2</v>
      </c>
      <c r="N157" s="148">
        <f t="shared" si="43"/>
        <v>0.35489989746184425</v>
      </c>
      <c r="O157" s="148">
        <f t="shared" si="43"/>
        <v>3.2238965037449302E-2</v>
      </c>
    </row>
    <row r="158" spans="1:15">
      <c r="B158" s="124" t="s">
        <v>1141</v>
      </c>
      <c r="D158" s="148">
        <f t="shared" ref="D158:L158" si="50">D107/$C107</f>
        <v>1.1267215431683028E-2</v>
      </c>
      <c r="E158" s="148">
        <f t="shared" si="50"/>
        <v>0.14029186263409457</v>
      </c>
      <c r="F158" s="148">
        <f t="shared" si="50"/>
        <v>6.0256512602443697E-2</v>
      </c>
      <c r="G158" s="148">
        <f t="shared" si="50"/>
        <v>0.13643146827435851</v>
      </c>
      <c r="H158" s="148">
        <f t="shared" si="50"/>
        <v>5.990166304808571E-2</v>
      </c>
      <c r="I158" s="148">
        <f t="shared" si="50"/>
        <v>4.2340972643078241E-2</v>
      </c>
      <c r="J158" s="148">
        <f t="shared" si="50"/>
        <v>3.1975227993087406E-2</v>
      </c>
      <c r="K158" s="148">
        <f t="shared" si="50"/>
        <v>3.7930763859764717E-2</v>
      </c>
      <c r="L158" s="148">
        <f t="shared" si="50"/>
        <v>1.0448228057176203E-2</v>
      </c>
      <c r="M158" s="148">
        <f t="shared" ref="M158:O158" si="51">M107/$C107</f>
        <v>0.11231145806512546</v>
      </c>
      <c r="N158" s="148">
        <f t="shared" si="51"/>
        <v>0.32161157466176293</v>
      </c>
      <c r="O158" s="148">
        <f t="shared" si="51"/>
        <v>3.5233052729339513E-2</v>
      </c>
    </row>
    <row r="161" spans="1:15" ht="60">
      <c r="A161" s="55" t="s">
        <v>251</v>
      </c>
      <c r="B161" s="55" t="s">
        <v>252</v>
      </c>
      <c r="C161" s="55" t="s">
        <v>1414</v>
      </c>
      <c r="D161" s="55" t="s">
        <v>454</v>
      </c>
      <c r="E161" s="55" t="s">
        <v>812</v>
      </c>
      <c r="F161" s="55" t="s">
        <v>277</v>
      </c>
      <c r="G161" s="55" t="s">
        <v>813</v>
      </c>
      <c r="H161" s="55" t="s">
        <v>419</v>
      </c>
      <c r="I161" s="55" t="s">
        <v>280</v>
      </c>
      <c r="J161" s="55" t="s">
        <v>281</v>
      </c>
      <c r="K161" s="55" t="s">
        <v>282</v>
      </c>
      <c r="L161" s="55" t="s">
        <v>283</v>
      </c>
      <c r="M161" s="55" t="s">
        <v>420</v>
      </c>
      <c r="N161" s="55" t="s">
        <v>421</v>
      </c>
      <c r="O161" s="55" t="s">
        <v>286</v>
      </c>
    </row>
    <row r="162" spans="1:15">
      <c r="A162">
        <v>59</v>
      </c>
      <c r="B162" s="124" t="s">
        <v>89</v>
      </c>
      <c r="D162" s="683">
        <f>D110/D$158</f>
        <v>3.2326506779941462</v>
      </c>
      <c r="E162" s="149">
        <f t="shared" ref="E162:L162" si="52">E110/E$158</f>
        <v>0.81590019760515553</v>
      </c>
      <c r="F162" s="149">
        <f t="shared" si="52"/>
        <v>1.2360101690468366</v>
      </c>
      <c r="G162" s="149">
        <f t="shared" si="52"/>
        <v>1.2511708489501567</v>
      </c>
      <c r="H162" s="149">
        <f t="shared" si="52"/>
        <v>1.1214306841603103</v>
      </c>
      <c r="I162" s="149">
        <f t="shared" si="52"/>
        <v>1.0256019635910598</v>
      </c>
      <c r="J162" s="149">
        <f t="shared" si="52"/>
        <v>0.32260804203234356</v>
      </c>
      <c r="K162" s="149">
        <f t="shared" si="52"/>
        <v>0.69159012860296931</v>
      </c>
      <c r="L162" s="149">
        <f t="shared" si="52"/>
        <v>0.93463766989719854</v>
      </c>
      <c r="M162" s="149">
        <f t="shared" ref="M162:O181" si="53">M110/M$158</f>
        <v>0.70749989554109316</v>
      </c>
      <c r="N162" s="149">
        <f t="shared" si="53"/>
        <v>1.0306346911232871</v>
      </c>
      <c r="O162" s="149">
        <f t="shared" si="53"/>
        <v>1.0245458552021967</v>
      </c>
    </row>
    <row r="163" spans="1:15">
      <c r="A163">
        <v>7204</v>
      </c>
      <c r="B163" s="124" t="s">
        <v>6</v>
      </c>
      <c r="D163" s="149">
        <f t="shared" ref="D163:L163" si="54">D111/D$158</f>
        <v>1.985256323690018</v>
      </c>
      <c r="E163" s="149">
        <f t="shared" si="54"/>
        <v>0.74269401829227755</v>
      </c>
      <c r="F163" s="149">
        <f t="shared" si="54"/>
        <v>1.0536233696916042</v>
      </c>
      <c r="G163" s="149">
        <f t="shared" si="54"/>
        <v>0.99273857755208328</v>
      </c>
      <c r="H163" s="149">
        <f t="shared" si="54"/>
        <v>1.092036115039382</v>
      </c>
      <c r="I163" s="149">
        <f t="shared" si="54"/>
        <v>0.97382257960216823</v>
      </c>
      <c r="J163" s="149">
        <f t="shared" si="54"/>
        <v>1.1281878822579332</v>
      </c>
      <c r="K163" s="149">
        <f t="shared" si="54"/>
        <v>1.1747845784196547</v>
      </c>
      <c r="L163" s="149">
        <f t="shared" si="54"/>
        <v>1.1116795401694848</v>
      </c>
      <c r="M163" s="149">
        <f t="shared" si="53"/>
        <v>1.0297038641560927</v>
      </c>
      <c r="N163" s="149">
        <f t="shared" si="53"/>
        <v>1.0195662109683121</v>
      </c>
      <c r="O163" s="149">
        <f t="shared" si="53"/>
        <v>0.90995454400213094</v>
      </c>
    </row>
    <row r="164" spans="1:15">
      <c r="A164">
        <v>3122</v>
      </c>
      <c r="B164" s="124" t="s">
        <v>1076</v>
      </c>
      <c r="D164" s="149">
        <f t="shared" ref="D164:L164" si="55">D112/D$158</f>
        <v>8.5200920295707097E-2</v>
      </c>
      <c r="E164" s="149">
        <f t="shared" si="55"/>
        <v>0.77606570575985867</v>
      </c>
      <c r="F164" s="149">
        <f t="shared" si="55"/>
        <v>1.2970620443431327</v>
      </c>
      <c r="G164" s="149">
        <f t="shared" si="55"/>
        <v>1.1135369870884899</v>
      </c>
      <c r="H164" s="149">
        <f t="shared" si="55"/>
        <v>1.4881908981724692</v>
      </c>
      <c r="I164" s="149">
        <f t="shared" si="55"/>
        <v>0.82175874359739531</v>
      </c>
      <c r="J164" s="149">
        <f t="shared" si="55"/>
        <v>0.3583539843499649</v>
      </c>
      <c r="K164" s="149">
        <f t="shared" si="55"/>
        <v>0.46713340042903995</v>
      </c>
      <c r="L164" s="149">
        <f t="shared" si="55"/>
        <v>0.86796727779256622</v>
      </c>
      <c r="M164" s="149">
        <f t="shared" si="53"/>
        <v>0.93221816767211108</v>
      </c>
      <c r="N164" s="149">
        <f t="shared" si="53"/>
        <v>1.1380075022235057</v>
      </c>
      <c r="O164" s="149">
        <f t="shared" si="53"/>
        <v>0.77217720538232348</v>
      </c>
    </row>
    <row r="165" spans="1:15">
      <c r="A165">
        <v>8210</v>
      </c>
      <c r="B165" s="124" t="s">
        <v>8</v>
      </c>
      <c r="D165" s="149">
        <f t="shared" ref="D165:L165" si="56">D113/D$158</f>
        <v>0.32544621324935524</v>
      </c>
      <c r="E165" s="149">
        <f t="shared" si="56"/>
        <v>1.2551661652252186</v>
      </c>
      <c r="F165" s="149">
        <f t="shared" si="56"/>
        <v>0.9288560906008988</v>
      </c>
      <c r="G165" s="149">
        <f t="shared" si="56"/>
        <v>0.83533028609038062</v>
      </c>
      <c r="H165" s="149">
        <f t="shared" si="56"/>
        <v>0.71894204864162692</v>
      </c>
      <c r="I165" s="149">
        <f t="shared" si="56"/>
        <v>0.89764747817039414</v>
      </c>
      <c r="J165" s="149">
        <f t="shared" si="56"/>
        <v>1.2530500710657424</v>
      </c>
      <c r="K165" s="149">
        <f t="shared" si="56"/>
        <v>0.69772532098567963</v>
      </c>
      <c r="L165" s="149">
        <f t="shared" si="56"/>
        <v>0.92634689757115551</v>
      </c>
      <c r="M165" s="149">
        <f t="shared" si="53"/>
        <v>1.1538987062176485</v>
      </c>
      <c r="N165" s="149">
        <f t="shared" si="53"/>
        <v>1.0339580160444866</v>
      </c>
      <c r="O165" s="149">
        <f t="shared" si="53"/>
        <v>0.87690552997469096</v>
      </c>
    </row>
    <row r="166" spans="1:15">
      <c r="A166">
        <v>3111</v>
      </c>
      <c r="B166" s="124" t="s">
        <v>10</v>
      </c>
      <c r="D166" s="149">
        <f t="shared" ref="D166:L166" si="57">D114/D$158</f>
        <v>0.27519859219341114</v>
      </c>
      <c r="E166" s="149">
        <f t="shared" si="57"/>
        <v>0.52093376986732065</v>
      </c>
      <c r="F166" s="149">
        <f t="shared" si="57"/>
        <v>0.81824167385354163</v>
      </c>
      <c r="G166" s="149">
        <f t="shared" si="57"/>
        <v>0.99881822354608996</v>
      </c>
      <c r="H166" s="149">
        <f t="shared" si="57"/>
        <v>1.0144061473057115</v>
      </c>
      <c r="I166" s="149">
        <f t="shared" si="57"/>
        <v>0.83250795043078296</v>
      </c>
      <c r="J166" s="149">
        <f t="shared" si="57"/>
        <v>1.4801782380299466</v>
      </c>
      <c r="K166" s="149">
        <f t="shared" si="57"/>
        <v>1.3820180186563147</v>
      </c>
      <c r="L166" s="149">
        <f t="shared" si="57"/>
        <v>0.92705813373250623</v>
      </c>
      <c r="M166" s="149">
        <f t="shared" si="53"/>
        <v>1.2064164838927127</v>
      </c>
      <c r="N166" s="149">
        <f t="shared" si="53"/>
        <v>1.1410950026212519</v>
      </c>
      <c r="O166" s="149">
        <f t="shared" si="53"/>
        <v>0.86021968940037719</v>
      </c>
    </row>
    <row r="167" spans="1:15">
      <c r="A167">
        <v>8214</v>
      </c>
      <c r="B167" s="124" t="s">
        <v>12</v>
      </c>
      <c r="D167" s="149">
        <f t="shared" ref="D167:L167" si="58">D115/D$158</f>
        <v>0.1655494008073678</v>
      </c>
      <c r="E167" s="149">
        <f t="shared" si="58"/>
        <v>1.0114066551941734</v>
      </c>
      <c r="F167" s="149">
        <f t="shared" si="58"/>
        <v>0.97142645677338579</v>
      </c>
      <c r="G167" s="149">
        <f t="shared" si="58"/>
        <v>0.96238623248291622</v>
      </c>
      <c r="H167" s="149">
        <f t="shared" si="58"/>
        <v>1.0943605400220862</v>
      </c>
      <c r="I167" s="149">
        <f t="shared" si="58"/>
        <v>0.94639199280974107</v>
      </c>
      <c r="J167" s="149">
        <f t="shared" si="58"/>
        <v>1.4528994728324325</v>
      </c>
      <c r="K167" s="149">
        <f t="shared" si="58"/>
        <v>1.0225179869500041</v>
      </c>
      <c r="L167" s="149">
        <f t="shared" si="58"/>
        <v>1.1277887246236444</v>
      </c>
      <c r="M167" s="149">
        <f t="shared" si="53"/>
        <v>1.2891577047468434</v>
      </c>
      <c r="N167" s="149">
        <f t="shared" si="53"/>
        <v>0.88854101879050751</v>
      </c>
      <c r="O167" s="149">
        <f t="shared" si="53"/>
        <v>0.94245460872809406</v>
      </c>
    </row>
    <row r="168" spans="1:15">
      <c r="A168">
        <v>9310</v>
      </c>
      <c r="B168" s="124" t="s">
        <v>54</v>
      </c>
      <c r="D168" s="149">
        <f t="shared" ref="D168:L168" si="59">D116/D$158</f>
        <v>0.14442391551786302</v>
      </c>
      <c r="E168" s="149">
        <f t="shared" si="59"/>
        <v>0.67777292151600144</v>
      </c>
      <c r="F168" s="149">
        <f t="shared" si="59"/>
        <v>0.85082947809452758</v>
      </c>
      <c r="G168" s="149">
        <f t="shared" si="59"/>
        <v>0.94790189260933977</v>
      </c>
      <c r="H168" s="149">
        <f t="shared" si="59"/>
        <v>1.3707128598541611</v>
      </c>
      <c r="I168" s="149">
        <f t="shared" si="59"/>
        <v>1.009180005193375</v>
      </c>
      <c r="J168" s="149">
        <f t="shared" si="59"/>
        <v>0.68265212120842</v>
      </c>
      <c r="K168" s="149">
        <f t="shared" si="59"/>
        <v>0.93438002958555022</v>
      </c>
      <c r="L168" s="149">
        <f t="shared" si="59"/>
        <v>1.3015656960312556</v>
      </c>
      <c r="M168" s="149">
        <f t="shared" si="53"/>
        <v>1.1278751694998812</v>
      </c>
      <c r="N168" s="149">
        <f t="shared" si="53"/>
        <v>1.125398458633057</v>
      </c>
      <c r="O168" s="149">
        <f t="shared" si="53"/>
        <v>1.0891527454251799</v>
      </c>
    </row>
    <row r="169" spans="1:15">
      <c r="A169">
        <v>9111</v>
      </c>
      <c r="B169" s="124" t="s">
        <v>15</v>
      </c>
      <c r="D169" s="149">
        <f t="shared" ref="D169:L169" si="60">D117/D$158</f>
        <v>0.64031185420387793</v>
      </c>
      <c r="E169" s="149">
        <f t="shared" si="60"/>
        <v>0.4284559934452965</v>
      </c>
      <c r="F169" s="149">
        <f t="shared" si="60"/>
        <v>0.91813505146300833</v>
      </c>
      <c r="G169" s="149">
        <f t="shared" si="60"/>
        <v>1.0193691759096506</v>
      </c>
      <c r="H169" s="149">
        <f t="shared" si="60"/>
        <v>0.77888342553391021</v>
      </c>
      <c r="I169" s="149">
        <f t="shared" si="60"/>
        <v>1.1666947971375656</v>
      </c>
      <c r="J169" s="149">
        <f t="shared" si="60"/>
        <v>1.4023852954771998</v>
      </c>
      <c r="K169" s="149">
        <f t="shared" si="60"/>
        <v>0.88889966986681646</v>
      </c>
      <c r="L169" s="149">
        <f t="shared" si="60"/>
        <v>1.2291185005543221</v>
      </c>
      <c r="M169" s="149">
        <f t="shared" si="53"/>
        <v>1.1641249072565785</v>
      </c>
      <c r="N169" s="149">
        <f t="shared" si="53"/>
        <v>1.171901921820004</v>
      </c>
      <c r="O169" s="149">
        <f t="shared" si="53"/>
        <v>1.2255932832902214</v>
      </c>
    </row>
    <row r="170" spans="1:15">
      <c r="A170">
        <v>5203</v>
      </c>
      <c r="B170" s="124" t="s">
        <v>17</v>
      </c>
      <c r="D170" s="149">
        <f t="shared" ref="D170:L170" si="61">D118/D$158</f>
        <v>0.96990230250983078</v>
      </c>
      <c r="E170" s="149">
        <f t="shared" si="61"/>
        <v>0.91878744973026549</v>
      </c>
      <c r="F170" s="149">
        <f t="shared" si="61"/>
        <v>1.1016682925892796</v>
      </c>
      <c r="G170" s="149">
        <f t="shared" si="61"/>
        <v>0.99385560729324784</v>
      </c>
      <c r="H170" s="149">
        <f t="shared" si="61"/>
        <v>1.037443307034795</v>
      </c>
      <c r="I170" s="149">
        <f t="shared" si="61"/>
        <v>0.71864652297560616</v>
      </c>
      <c r="J170" s="149">
        <f t="shared" si="61"/>
        <v>1.708089363370088</v>
      </c>
      <c r="K170" s="149">
        <f t="shared" si="61"/>
        <v>1.1815268746495384</v>
      </c>
      <c r="L170" s="149">
        <f t="shared" si="61"/>
        <v>0.84998868134644689</v>
      </c>
      <c r="M170" s="149">
        <f t="shared" si="53"/>
        <v>1.1147698738848613</v>
      </c>
      <c r="N170" s="149">
        <f t="shared" si="53"/>
        <v>0.92762273126399586</v>
      </c>
      <c r="O170" s="149">
        <f t="shared" si="53"/>
        <v>0.95863340491482252</v>
      </c>
    </row>
    <row r="171" spans="1:15">
      <c r="A171">
        <v>9307</v>
      </c>
      <c r="B171" s="124" t="s">
        <v>19</v>
      </c>
      <c r="D171" s="149">
        <f t="shared" ref="D171:L171" si="62">D119/D$158</f>
        <v>0.19256824183138552</v>
      </c>
      <c r="E171" s="149">
        <f t="shared" si="62"/>
        <v>0.50952845817255021</v>
      </c>
      <c r="F171" s="149">
        <f t="shared" si="62"/>
        <v>1.0502421693469117</v>
      </c>
      <c r="G171" s="149">
        <f t="shared" si="62"/>
        <v>1.0856317297639142</v>
      </c>
      <c r="H171" s="149">
        <f t="shared" si="62"/>
        <v>1.0379995154558836</v>
      </c>
      <c r="I171" s="149">
        <f t="shared" si="62"/>
        <v>1.6862621371543998</v>
      </c>
      <c r="J171" s="149">
        <f t="shared" si="62"/>
        <v>0.41464223355548208</v>
      </c>
      <c r="K171" s="149">
        <f t="shared" si="62"/>
        <v>0.81397785322218452</v>
      </c>
      <c r="L171" s="149">
        <f t="shared" si="62"/>
        <v>1.4874239274058765</v>
      </c>
      <c r="M171" s="149">
        <f t="shared" si="53"/>
        <v>0.94581855935548287</v>
      </c>
      <c r="N171" s="149">
        <f t="shared" si="53"/>
        <v>1.1628473136097661</v>
      </c>
      <c r="O171" s="149">
        <f t="shared" si="53"/>
        <v>1.177531085758502</v>
      </c>
    </row>
    <row r="172" spans="1:15">
      <c r="A172">
        <v>5312</v>
      </c>
      <c r="B172" s="124" t="s">
        <v>21</v>
      </c>
      <c r="D172" s="149">
        <f t="shared" ref="D172:L172" si="63">D120/D$158</f>
        <v>0.88098475546706534</v>
      </c>
      <c r="E172" s="149">
        <f t="shared" si="63"/>
        <v>0.93506359434442432</v>
      </c>
      <c r="F172" s="149">
        <f t="shared" si="63"/>
        <v>1.0604454335592237</v>
      </c>
      <c r="G172" s="149">
        <f t="shared" si="63"/>
        <v>0.9026470119522243</v>
      </c>
      <c r="H172" s="149">
        <f t="shared" si="63"/>
        <v>1.1389780576094146</v>
      </c>
      <c r="I172" s="149">
        <f t="shared" si="63"/>
        <v>0.70842645938607796</v>
      </c>
      <c r="J172" s="149">
        <f t="shared" si="63"/>
        <v>1.766885676001954</v>
      </c>
      <c r="K172" s="149">
        <f t="shared" si="63"/>
        <v>0.90674214201515291</v>
      </c>
      <c r="L172" s="149">
        <f t="shared" si="63"/>
        <v>0.806433861958473</v>
      </c>
      <c r="M172" s="149">
        <f t="shared" si="53"/>
        <v>0.99244278049925916</v>
      </c>
      <c r="N172" s="149">
        <f t="shared" si="53"/>
        <v>1.0274928695278505</v>
      </c>
      <c r="O172" s="149">
        <f t="shared" si="53"/>
        <v>0.9192930618043873</v>
      </c>
    </row>
    <row r="173" spans="1:15">
      <c r="A173">
        <v>2307</v>
      </c>
      <c r="B173" s="124" t="s">
        <v>23</v>
      </c>
      <c r="D173" s="149">
        <f t="shared" ref="D173:L173" si="64">D121/D$158</f>
        <v>0.53375361988090209</v>
      </c>
      <c r="E173" s="149">
        <f t="shared" si="64"/>
        <v>1.1361673930163909</v>
      </c>
      <c r="F173" s="149">
        <f t="shared" si="64"/>
        <v>1.1096440755115116</v>
      </c>
      <c r="G173" s="149">
        <f t="shared" si="64"/>
        <v>0.91124580724890902</v>
      </c>
      <c r="H173" s="149">
        <f t="shared" si="64"/>
        <v>1.1289495351437975</v>
      </c>
      <c r="I173" s="149">
        <f t="shared" si="64"/>
        <v>0.74174042677214846</v>
      </c>
      <c r="J173" s="149">
        <f t="shared" si="64"/>
        <v>0.48272902109419097</v>
      </c>
      <c r="K173" s="149">
        <f t="shared" si="64"/>
        <v>0.98883826105948536</v>
      </c>
      <c r="L173" s="149">
        <f t="shared" si="64"/>
        <v>1.1331026774244526</v>
      </c>
      <c r="M173" s="149">
        <f t="shared" si="53"/>
        <v>0.8155682455162212</v>
      </c>
      <c r="N173" s="149">
        <f t="shared" si="53"/>
        <v>1.1054462286876952</v>
      </c>
      <c r="O173" s="149">
        <f t="shared" si="53"/>
        <v>0.92156517278954164</v>
      </c>
    </row>
    <row r="174" spans="1:15">
      <c r="A174">
        <v>4205</v>
      </c>
      <c r="B174" s="124" t="s">
        <v>25</v>
      </c>
      <c r="D174" s="149">
        <f t="shared" ref="D174:L174" si="65">D122/D$158</f>
        <v>0.28084245372862204</v>
      </c>
      <c r="E174" s="149">
        <f t="shared" si="65"/>
        <v>0.75649458433547212</v>
      </c>
      <c r="F174" s="149">
        <f t="shared" si="65"/>
        <v>0.80406100215109688</v>
      </c>
      <c r="G174" s="149">
        <f t="shared" si="65"/>
        <v>1.1208454144542237</v>
      </c>
      <c r="H174" s="149">
        <f t="shared" si="65"/>
        <v>1.0808186874416796</v>
      </c>
      <c r="I174" s="149">
        <f t="shared" si="65"/>
        <v>1.0900768971710433</v>
      </c>
      <c r="J174" s="149">
        <f t="shared" si="65"/>
        <v>1.0384298290321663</v>
      </c>
      <c r="K174" s="149">
        <f t="shared" si="65"/>
        <v>1.3021788237785903</v>
      </c>
      <c r="L174" s="149">
        <f t="shared" si="65"/>
        <v>0.98696416741433346</v>
      </c>
      <c r="M174" s="149">
        <f t="shared" si="53"/>
        <v>1.1180677315161911</v>
      </c>
      <c r="N174" s="149">
        <f t="shared" si="53"/>
        <v>1.0156078015860628</v>
      </c>
      <c r="O174" s="149">
        <f t="shared" si="53"/>
        <v>0.94592049496797748</v>
      </c>
    </row>
    <row r="175" spans="1:15">
      <c r="A175">
        <v>9315</v>
      </c>
      <c r="B175" s="124" t="s">
        <v>55</v>
      </c>
      <c r="D175" s="149">
        <f t="shared" ref="D175:L175" si="66">D123/D$158</f>
        <v>0.95109038840701399</v>
      </c>
      <c r="E175" s="149">
        <f t="shared" si="66"/>
        <v>0.5282568361024258</v>
      </c>
      <c r="F175" s="149">
        <f t="shared" si="66"/>
        <v>1.0467805173513469</v>
      </c>
      <c r="G175" s="149">
        <f t="shared" si="66"/>
        <v>1.1361049912983798</v>
      </c>
      <c r="H175" s="149">
        <f t="shared" si="66"/>
        <v>0.78641139221565182</v>
      </c>
      <c r="I175" s="149">
        <f t="shared" si="66"/>
        <v>1.1769590981194866</v>
      </c>
      <c r="J175" s="149">
        <f t="shared" si="66"/>
        <v>0.44420657981838735</v>
      </c>
      <c r="K175" s="149">
        <f t="shared" si="66"/>
        <v>0.69945094396628138</v>
      </c>
      <c r="L175" s="149">
        <f t="shared" si="66"/>
        <v>1.4898916784211447</v>
      </c>
      <c r="M175" s="149">
        <f t="shared" si="53"/>
        <v>0.78396452636618807</v>
      </c>
      <c r="N175" s="149">
        <f t="shared" si="53"/>
        <v>1.295907292245273</v>
      </c>
      <c r="O175" s="149">
        <f t="shared" si="53"/>
        <v>1.107736493893968</v>
      </c>
    </row>
    <row r="176" spans="1:15">
      <c r="A176">
        <v>61</v>
      </c>
      <c r="B176" s="124" t="s">
        <v>27</v>
      </c>
      <c r="D176" s="149">
        <f t="shared" ref="D176:L176" si="67">D124/D$158</f>
        <v>0.36993787063005645</v>
      </c>
      <c r="E176" s="149">
        <f t="shared" si="67"/>
        <v>1.0148949438891139</v>
      </c>
      <c r="F176" s="149">
        <f t="shared" si="67"/>
        <v>1.0094699854312212</v>
      </c>
      <c r="G176" s="149">
        <f t="shared" si="67"/>
        <v>0.86379368015207403</v>
      </c>
      <c r="H176" s="149">
        <f t="shared" si="67"/>
        <v>0.97603634281284235</v>
      </c>
      <c r="I176" s="149">
        <f t="shared" si="67"/>
        <v>0.84070523426408572</v>
      </c>
      <c r="J176" s="149">
        <f t="shared" si="67"/>
        <v>1.5147493678199515</v>
      </c>
      <c r="K176" s="149">
        <f t="shared" si="67"/>
        <v>0.79765737555390137</v>
      </c>
      <c r="L176" s="149">
        <f t="shared" si="67"/>
        <v>0.95150705013456205</v>
      </c>
      <c r="M176" s="149">
        <f t="shared" si="53"/>
        <v>1.3198337312580659</v>
      </c>
      <c r="N176" s="149">
        <f t="shared" si="53"/>
        <v>0.96528421606890502</v>
      </c>
      <c r="O176" s="149">
        <f t="shared" si="53"/>
        <v>0.9480095297516804</v>
      </c>
    </row>
    <row r="177" spans="1:15">
      <c r="A177">
        <v>2</v>
      </c>
      <c r="B177" s="124" t="s">
        <v>29</v>
      </c>
      <c r="D177" s="149">
        <f t="shared" ref="D177:L177" si="68">D125/D$158</f>
        <v>0.27385697890809896</v>
      </c>
      <c r="E177" s="149">
        <f t="shared" si="68"/>
        <v>1.080945283407976</v>
      </c>
      <c r="F177" s="149">
        <f t="shared" si="68"/>
        <v>0.99896150829427699</v>
      </c>
      <c r="G177" s="149">
        <f t="shared" si="68"/>
        <v>1.0096244170992945</v>
      </c>
      <c r="H177" s="149">
        <f t="shared" si="68"/>
        <v>1.1682751117876391</v>
      </c>
      <c r="I177" s="149">
        <f t="shared" si="68"/>
        <v>0.92478306349260708</v>
      </c>
      <c r="J177" s="149">
        <f t="shared" si="68"/>
        <v>1.2902707968071738</v>
      </c>
      <c r="K177" s="149">
        <f t="shared" si="68"/>
        <v>0.95719234773071304</v>
      </c>
      <c r="L177" s="149">
        <f t="shared" si="68"/>
        <v>1.085436359657691</v>
      </c>
      <c r="M177" s="149">
        <f t="shared" si="53"/>
        <v>1.2225627621753143</v>
      </c>
      <c r="N177" s="149">
        <f t="shared" si="53"/>
        <v>0.86938285472157462</v>
      </c>
      <c r="O177" s="149">
        <f t="shared" si="53"/>
        <v>0.91885965430334748</v>
      </c>
    </row>
    <row r="178" spans="1:15">
      <c r="A178">
        <v>3</v>
      </c>
      <c r="B178" s="124" t="s">
        <v>59</v>
      </c>
      <c r="D178" s="149">
        <f t="shared" ref="D178:L178" si="69">D126/D$158</f>
        <v>0.25681833739536453</v>
      </c>
      <c r="E178" s="149">
        <f t="shared" si="69"/>
        <v>0.74029340477270011</v>
      </c>
      <c r="F178" s="149">
        <f t="shared" si="69"/>
        <v>0.90828894753214862</v>
      </c>
      <c r="G178" s="149">
        <f t="shared" si="69"/>
        <v>0.94911431907399701</v>
      </c>
      <c r="H178" s="149">
        <f t="shared" si="69"/>
        <v>1.266300345190537</v>
      </c>
      <c r="I178" s="149">
        <f t="shared" si="69"/>
        <v>0.97398793908040027</v>
      </c>
      <c r="J178" s="149">
        <f t="shared" si="69"/>
        <v>0.92384064121397869</v>
      </c>
      <c r="K178" s="149">
        <f t="shared" si="69"/>
        <v>0.92089995354555487</v>
      </c>
      <c r="L178" s="149">
        <f t="shared" si="69"/>
        <v>1.2144972482305398</v>
      </c>
      <c r="M178" s="149">
        <f t="shared" si="53"/>
        <v>1.1731286259913229</v>
      </c>
      <c r="N178" s="149">
        <f t="shared" si="53"/>
        <v>1.0751262599613138</v>
      </c>
      <c r="O178" s="149">
        <f t="shared" si="53"/>
        <v>1.0571925275592184</v>
      </c>
    </row>
    <row r="179" spans="1:15">
      <c r="A179">
        <v>4</v>
      </c>
      <c r="B179" s="124" t="s">
        <v>32</v>
      </c>
      <c r="D179" s="149">
        <f t="shared" ref="D179:L179" si="70">D127/D$158</f>
        <v>0.26100496639871917</v>
      </c>
      <c r="E179" s="149">
        <f t="shared" si="70"/>
        <v>0.9857193330350329</v>
      </c>
      <c r="F179" s="149">
        <f t="shared" si="70"/>
        <v>0.9987799363923725</v>
      </c>
      <c r="G179" s="149">
        <f t="shared" si="70"/>
        <v>0.84914054126966265</v>
      </c>
      <c r="H179" s="149">
        <f t="shared" si="70"/>
        <v>0.99293452512505209</v>
      </c>
      <c r="I179" s="149">
        <f t="shared" si="70"/>
        <v>0.84757004424161952</v>
      </c>
      <c r="J179" s="149">
        <f t="shared" si="70"/>
        <v>1.6024898888393548</v>
      </c>
      <c r="K179" s="149">
        <f t="shared" si="70"/>
        <v>0.81689913220912647</v>
      </c>
      <c r="L179" s="149">
        <f t="shared" si="70"/>
        <v>0.98090907735623778</v>
      </c>
      <c r="M179" s="149">
        <f t="shared" si="53"/>
        <v>1.3776430053871742</v>
      </c>
      <c r="N179" s="149">
        <f t="shared" si="53"/>
        <v>0.95236946163011349</v>
      </c>
      <c r="O179" s="149">
        <f t="shared" si="53"/>
        <v>0.96161004098130454</v>
      </c>
    </row>
    <row r="180" spans="1:15">
      <c r="A180">
        <v>5</v>
      </c>
      <c r="B180" s="124" t="s">
        <v>34</v>
      </c>
      <c r="D180" s="149">
        <f t="shared" ref="D180:L180" si="71">D128/D$158</f>
        <v>0.34067351950003477</v>
      </c>
      <c r="E180" s="149">
        <f t="shared" si="71"/>
        <v>0.59983627068683254</v>
      </c>
      <c r="F180" s="149">
        <f t="shared" si="71"/>
        <v>0.83007748692744909</v>
      </c>
      <c r="G180" s="149">
        <f t="shared" si="71"/>
        <v>1.1400067043876512</v>
      </c>
      <c r="H180" s="149">
        <f t="shared" si="71"/>
        <v>0.95305091275359377</v>
      </c>
      <c r="I180" s="149">
        <f t="shared" si="71"/>
        <v>0.77043022622725388</v>
      </c>
      <c r="J180" s="149">
        <f t="shared" si="71"/>
        <v>1.4145483571457731</v>
      </c>
      <c r="K180" s="149">
        <f t="shared" si="71"/>
        <v>1.3738332327038232</v>
      </c>
      <c r="L180" s="149">
        <f t="shared" si="71"/>
        <v>0.9805648331002601</v>
      </c>
      <c r="M180" s="149">
        <f t="shared" si="53"/>
        <v>1.2136662408193375</v>
      </c>
      <c r="N180" s="149">
        <f t="shared" si="53"/>
        <v>1.0651419204278447</v>
      </c>
      <c r="O180" s="149">
        <f t="shared" si="53"/>
        <v>0.85976475607575453</v>
      </c>
    </row>
    <row r="181" spans="1:15">
      <c r="A181">
        <v>6</v>
      </c>
      <c r="B181" s="124" t="s">
        <v>61</v>
      </c>
      <c r="D181" s="149">
        <f t="shared" ref="D181:L181" si="72">D129/D$158</f>
        <v>1.6148220375574776</v>
      </c>
      <c r="E181" s="149">
        <f t="shared" si="72"/>
        <v>0.71756964352554686</v>
      </c>
      <c r="F181" s="149">
        <f t="shared" si="72"/>
        <v>1.049909966414398</v>
      </c>
      <c r="G181" s="149">
        <f t="shared" si="72"/>
        <v>0.99645434701843794</v>
      </c>
      <c r="H181" s="149">
        <f t="shared" si="72"/>
        <v>1.1187827968303083</v>
      </c>
      <c r="I181" s="149">
        <f t="shared" si="72"/>
        <v>0.99850404746988175</v>
      </c>
      <c r="J181" s="149">
        <f t="shared" si="72"/>
        <v>1.1725658088949178</v>
      </c>
      <c r="K181" s="149">
        <f t="shared" si="72"/>
        <v>1.2063117134790871</v>
      </c>
      <c r="L181" s="149">
        <f t="shared" si="72"/>
        <v>1.1502904950659274</v>
      </c>
      <c r="M181" s="149">
        <f t="shared" si="53"/>
        <v>1.0555457227685789</v>
      </c>
      <c r="N181" s="149">
        <f t="shared" si="53"/>
        <v>1.0139064379884017</v>
      </c>
      <c r="O181" s="149">
        <f t="shared" si="53"/>
        <v>0.92890725854558931</v>
      </c>
    </row>
    <row r="182" spans="1:15">
      <c r="A182">
        <v>7</v>
      </c>
      <c r="B182" s="124" t="s">
        <v>37</v>
      </c>
      <c r="D182" s="149">
        <f t="shared" ref="D182:L182" si="73">D130/D$158</f>
        <v>0.18604895733883439</v>
      </c>
      <c r="E182" s="149">
        <f t="shared" si="73"/>
        <v>0.57133992760306174</v>
      </c>
      <c r="F182" s="149">
        <f t="shared" si="73"/>
        <v>0.96817272392465026</v>
      </c>
      <c r="G182" s="149">
        <f t="shared" si="73"/>
        <v>1.1169262793121622</v>
      </c>
      <c r="H182" s="149">
        <f t="shared" si="73"/>
        <v>0.83036799330221489</v>
      </c>
      <c r="I182" s="149">
        <f t="shared" si="73"/>
        <v>1.7864284668528638</v>
      </c>
      <c r="J182" s="149">
        <f t="shared" si="73"/>
        <v>1.262904122705248</v>
      </c>
      <c r="K182" s="149">
        <f t="shared" si="73"/>
        <v>0.74175306307662836</v>
      </c>
      <c r="L182" s="149">
        <f t="shared" si="73"/>
        <v>1.541942362585156</v>
      </c>
      <c r="M182" s="149">
        <f t="shared" ref="M182:O201" si="74">M130/M$158</f>
        <v>1.1060114931710334</v>
      </c>
      <c r="N182" s="149">
        <f t="shared" si="74"/>
        <v>1.035047950312876</v>
      </c>
      <c r="O182" s="149">
        <f t="shared" si="74"/>
        <v>1.1329878123697814</v>
      </c>
    </row>
    <row r="183" spans="1:15">
      <c r="A183">
        <v>8</v>
      </c>
      <c r="B183" s="124" t="s">
        <v>39</v>
      </c>
      <c r="D183" s="149">
        <f t="shared" ref="D183:L183" si="75">D131/D$158</f>
        <v>0.79905547152435297</v>
      </c>
      <c r="E183" s="149">
        <f t="shared" si="75"/>
        <v>0.78761929589598645</v>
      </c>
      <c r="F183" s="149">
        <f t="shared" si="75"/>
        <v>1.0470383603022291</v>
      </c>
      <c r="G183" s="149">
        <f t="shared" si="75"/>
        <v>0.98576886303524236</v>
      </c>
      <c r="H183" s="149">
        <f t="shared" si="75"/>
        <v>1.0686072828405928</v>
      </c>
      <c r="I183" s="149">
        <f t="shared" si="75"/>
        <v>0.74246478124241122</v>
      </c>
      <c r="J183" s="149">
        <f t="shared" si="75"/>
        <v>1.8858436660736757</v>
      </c>
      <c r="K183" s="149">
        <f t="shared" si="75"/>
        <v>1.2549007005539869</v>
      </c>
      <c r="L183" s="149">
        <f t="shared" si="75"/>
        <v>0.91729073700882557</v>
      </c>
      <c r="M183" s="149">
        <f t="shared" si="74"/>
        <v>1.1655636132103819</v>
      </c>
      <c r="N183" s="149">
        <f t="shared" si="74"/>
        <v>0.94683214070418054</v>
      </c>
      <c r="O183" s="149">
        <f t="shared" si="74"/>
        <v>0.98116599339727995</v>
      </c>
    </row>
    <row r="184" spans="1:15">
      <c r="A184">
        <v>9</v>
      </c>
      <c r="B184" s="124" t="s">
        <v>41</v>
      </c>
      <c r="D184" s="149">
        <f t="shared" ref="D184:L184" si="76">D132/D$158</f>
        <v>0.63847833406573029</v>
      </c>
      <c r="E184" s="149">
        <f t="shared" si="76"/>
        <v>1.0426584261544849</v>
      </c>
      <c r="F184" s="149">
        <f t="shared" si="76"/>
        <v>0.92016235814312364</v>
      </c>
      <c r="G184" s="149">
        <f t="shared" si="76"/>
        <v>1.1428526211782428</v>
      </c>
      <c r="H184" s="149">
        <f t="shared" si="76"/>
        <v>1.0399404253868505</v>
      </c>
      <c r="I184" s="149">
        <f t="shared" si="76"/>
        <v>1.1014739381528258</v>
      </c>
      <c r="J184" s="149">
        <f t="shared" si="76"/>
        <v>0.89690138644779172</v>
      </c>
      <c r="K184" s="149">
        <f t="shared" si="76"/>
        <v>1.1515679843054469</v>
      </c>
      <c r="L184" s="149">
        <f t="shared" si="76"/>
        <v>0.90515781307666487</v>
      </c>
      <c r="M184" s="149">
        <f t="shared" si="74"/>
        <v>1.0042330949280636</v>
      </c>
      <c r="N184" s="149">
        <f t="shared" si="74"/>
        <v>0.93120193815408114</v>
      </c>
      <c r="O184" s="149">
        <f t="shared" si="74"/>
        <v>0.91230187388424755</v>
      </c>
    </row>
    <row r="185" spans="1:15">
      <c r="A185">
        <v>10</v>
      </c>
      <c r="B185" s="124" t="s">
        <v>43</v>
      </c>
      <c r="D185" s="149">
        <f t="shared" ref="D185:L185" si="77">D133/D$158</f>
        <v>0.22308499285083391</v>
      </c>
      <c r="E185" s="149">
        <f t="shared" si="77"/>
        <v>1.2524574756341187</v>
      </c>
      <c r="F185" s="149">
        <f t="shared" si="77"/>
        <v>0.88763165704233515</v>
      </c>
      <c r="G185" s="149">
        <f t="shared" si="77"/>
        <v>0.82140431663271585</v>
      </c>
      <c r="H185" s="149">
        <f t="shared" si="77"/>
        <v>0.64797083854817505</v>
      </c>
      <c r="I185" s="149">
        <f t="shared" si="77"/>
        <v>0.74822051287992108</v>
      </c>
      <c r="J185" s="149">
        <f t="shared" si="77"/>
        <v>1.3961877990871263</v>
      </c>
      <c r="K185" s="149">
        <f t="shared" si="77"/>
        <v>0.72854046191917621</v>
      </c>
      <c r="L185" s="149">
        <f t="shared" si="77"/>
        <v>0.96442788455387762</v>
      </c>
      <c r="M185" s="149">
        <f t="shared" si="74"/>
        <v>1.236519592758428</v>
      </c>
      <c r="N185" s="149">
        <f t="shared" si="74"/>
        <v>1.0382172132295018</v>
      </c>
      <c r="O185" s="149">
        <f t="shared" si="74"/>
        <v>0.8684710961174994</v>
      </c>
    </row>
    <row r="186" spans="1:15">
      <c r="A186">
        <v>11</v>
      </c>
      <c r="B186" s="124" t="s">
        <v>45</v>
      </c>
      <c r="D186" s="149">
        <f t="shared" ref="D186:L186" si="78">D134/D$158</f>
        <v>0.76383485305865051</v>
      </c>
      <c r="E186" s="149">
        <f t="shared" si="78"/>
        <v>0.85052590247535853</v>
      </c>
      <c r="F186" s="149">
        <f t="shared" si="78"/>
        <v>1.0348577946969577</v>
      </c>
      <c r="G186" s="149">
        <f t="shared" si="78"/>
        <v>0.90137055115409903</v>
      </c>
      <c r="H186" s="149">
        <f t="shared" si="78"/>
        <v>1.1124344105852528</v>
      </c>
      <c r="I186" s="149">
        <f t="shared" si="78"/>
        <v>0.72641989464654722</v>
      </c>
      <c r="J186" s="149">
        <f t="shared" si="78"/>
        <v>1.9050228869334445</v>
      </c>
      <c r="K186" s="149">
        <f t="shared" si="78"/>
        <v>0.94639126531935058</v>
      </c>
      <c r="L186" s="149">
        <f t="shared" si="78"/>
        <v>0.85609161340170836</v>
      </c>
      <c r="M186" s="149">
        <f t="shared" si="74"/>
        <v>1.013128192820087</v>
      </c>
      <c r="N186" s="149">
        <f t="shared" si="74"/>
        <v>1.0463555278023666</v>
      </c>
      <c r="O186" s="149">
        <f t="shared" si="74"/>
        <v>0.94468512468351018</v>
      </c>
    </row>
    <row r="187" spans="1:15">
      <c r="A187">
        <v>12</v>
      </c>
      <c r="B187" s="124" t="s">
        <v>47</v>
      </c>
      <c r="D187" s="149">
        <f t="shared" ref="D187:L187" si="79">D135/D$158</f>
        <v>0.3676666926540495</v>
      </c>
      <c r="E187" s="149">
        <f t="shared" si="79"/>
        <v>0.89989842910697337</v>
      </c>
      <c r="F187" s="149">
        <f t="shared" si="79"/>
        <v>1.0963035652458613</v>
      </c>
      <c r="G187" s="149">
        <f t="shared" si="79"/>
        <v>0.94415515934924377</v>
      </c>
      <c r="H187" s="149">
        <f t="shared" si="79"/>
        <v>1.1997307551926906</v>
      </c>
      <c r="I187" s="149">
        <f t="shared" si="79"/>
        <v>0.75278258389003827</v>
      </c>
      <c r="J187" s="149">
        <f t="shared" si="79"/>
        <v>0.51955790158650961</v>
      </c>
      <c r="K187" s="149">
        <f t="shared" si="79"/>
        <v>1.125885291222126</v>
      </c>
      <c r="L187" s="149">
        <f t="shared" si="79"/>
        <v>1.2217169586850753</v>
      </c>
      <c r="M187" s="149">
        <f t="shared" si="74"/>
        <v>0.83437022738072464</v>
      </c>
      <c r="N187" s="149">
        <f t="shared" si="74"/>
        <v>1.1552959836647692</v>
      </c>
      <c r="O187" s="149">
        <f t="shared" si="74"/>
        <v>0.95502166486791862</v>
      </c>
    </row>
    <row r="188" spans="1:15">
      <c r="A188">
        <v>13</v>
      </c>
      <c r="B188" s="124" t="s">
        <v>63</v>
      </c>
      <c r="D188" s="149">
        <f t="shared" ref="D188:L188" si="80">D136/D$158</f>
        <v>0.81480121255410587</v>
      </c>
      <c r="E188" s="149">
        <f t="shared" si="80"/>
        <v>0.56837129409847675</v>
      </c>
      <c r="F188" s="149">
        <f t="shared" si="80"/>
        <v>0.99654641899347707</v>
      </c>
      <c r="G188" s="149">
        <f t="shared" si="80"/>
        <v>1.1044295619830893</v>
      </c>
      <c r="H188" s="149">
        <f t="shared" si="80"/>
        <v>0.71475431687718216</v>
      </c>
      <c r="I188" s="149">
        <f t="shared" si="80"/>
        <v>1.228018862152553</v>
      </c>
      <c r="J188" s="149">
        <f t="shared" si="80"/>
        <v>0.54007004783607004</v>
      </c>
      <c r="K188" s="149">
        <f t="shared" si="80"/>
        <v>0.7089811099975869</v>
      </c>
      <c r="L188" s="149">
        <f t="shared" si="80"/>
        <v>1.4612473900747478</v>
      </c>
      <c r="M188" s="149">
        <f t="shared" si="74"/>
        <v>0.8424399320638245</v>
      </c>
      <c r="N188" s="149">
        <f t="shared" si="74"/>
        <v>1.283039074998872</v>
      </c>
      <c r="O188" s="149">
        <f t="shared" si="74"/>
        <v>1.1029237166482821</v>
      </c>
    </row>
    <row r="189" spans="1:15">
      <c r="A189">
        <v>14</v>
      </c>
      <c r="B189" s="124" t="s">
        <v>64</v>
      </c>
      <c r="D189" s="149">
        <f t="shared" ref="D189:L189" si="81">D137/D$158</f>
        <v>0.43099471720809174</v>
      </c>
      <c r="E189" s="149">
        <f t="shared" si="81"/>
        <v>1.0097348848015149</v>
      </c>
      <c r="F189" s="149">
        <f t="shared" si="81"/>
        <v>1.1348836498401655</v>
      </c>
      <c r="G189" s="149">
        <f t="shared" si="81"/>
        <v>0.99346059264748987</v>
      </c>
      <c r="H189" s="149">
        <f t="shared" si="81"/>
        <v>1.4275072395488506</v>
      </c>
      <c r="I189" s="149">
        <f t="shared" si="81"/>
        <v>0.73725170052171429</v>
      </c>
      <c r="J189" s="149">
        <f t="shared" si="81"/>
        <v>0.30935149284096475</v>
      </c>
      <c r="K189" s="149">
        <f t="shared" si="81"/>
        <v>0.47900154050801858</v>
      </c>
      <c r="L189" s="149">
        <f t="shared" si="81"/>
        <v>1.1234792978804162</v>
      </c>
      <c r="M189" s="149">
        <f t="shared" si="74"/>
        <v>0.80336115587653278</v>
      </c>
      <c r="N189" s="149">
        <f t="shared" si="74"/>
        <v>1.1703714870005899</v>
      </c>
      <c r="O189" s="149">
        <f t="shared" si="74"/>
        <v>0.74947651279323801</v>
      </c>
    </row>
    <row r="190" spans="1:15">
      <c r="A190">
        <v>15</v>
      </c>
      <c r="B190" s="124" t="s">
        <v>49</v>
      </c>
      <c r="D190" s="149">
        <f t="shared" ref="D190:L190" si="82">D138/D$158</f>
        <v>0.55687587854145049</v>
      </c>
      <c r="E190" s="149">
        <f t="shared" si="82"/>
        <v>0.4028327058295369</v>
      </c>
      <c r="F190" s="149">
        <f t="shared" si="82"/>
        <v>0.91516047027895853</v>
      </c>
      <c r="G190" s="149">
        <f t="shared" si="82"/>
        <v>0.98803336229195771</v>
      </c>
      <c r="H190" s="149">
        <f t="shared" si="82"/>
        <v>0.75394760989586906</v>
      </c>
      <c r="I190" s="149">
        <f t="shared" si="82"/>
        <v>1.1012901838257467</v>
      </c>
      <c r="J190" s="149">
        <f t="shared" si="82"/>
        <v>1.4946506286951666</v>
      </c>
      <c r="K190" s="149">
        <f t="shared" si="82"/>
        <v>0.90409226797781916</v>
      </c>
      <c r="L190" s="149">
        <f t="shared" si="82"/>
        <v>1.2158552260942186</v>
      </c>
      <c r="M190" s="149">
        <f t="shared" si="74"/>
        <v>1.199987364806568</v>
      </c>
      <c r="N190" s="149">
        <f t="shared" si="74"/>
        <v>1.1916105814183227</v>
      </c>
      <c r="O190" s="149">
        <f t="shared" si="74"/>
        <v>1.2113469569398851</v>
      </c>
    </row>
    <row r="191" spans="1:15">
      <c r="A191">
        <v>16</v>
      </c>
      <c r="B191" s="124" t="s">
        <v>65</v>
      </c>
      <c r="D191" s="149">
        <f t="shared" ref="D191:L191" si="83">D139/D$158</f>
        <v>2.7622146293801619</v>
      </c>
      <c r="E191" s="149">
        <f t="shared" si="83"/>
        <v>0.73265918720108525</v>
      </c>
      <c r="F191" s="149">
        <f t="shared" si="83"/>
        <v>1.1014223321957928</v>
      </c>
      <c r="G191" s="149">
        <f t="shared" si="83"/>
        <v>1.3188823021294707</v>
      </c>
      <c r="H191" s="149">
        <f t="shared" si="83"/>
        <v>1.3140325495808398</v>
      </c>
      <c r="I191" s="149">
        <f t="shared" si="83"/>
        <v>1.0058270268522413</v>
      </c>
      <c r="J191" s="149">
        <f t="shared" si="83"/>
        <v>0.35463592663176619</v>
      </c>
      <c r="K191" s="149">
        <f t="shared" si="83"/>
        <v>0.65817271828536172</v>
      </c>
      <c r="L191" s="149">
        <f t="shared" si="83"/>
        <v>1.012574025380292</v>
      </c>
      <c r="M191" s="149">
        <f t="shared" si="74"/>
        <v>0.75913148908906736</v>
      </c>
      <c r="N191" s="149">
        <f t="shared" si="74"/>
        <v>1.0280990031786172</v>
      </c>
      <c r="O191" s="149">
        <f t="shared" si="74"/>
        <v>1.013088393164697</v>
      </c>
    </row>
    <row r="192" spans="1:15">
      <c r="A192">
        <v>6</v>
      </c>
      <c r="B192" s="124" t="s">
        <v>234</v>
      </c>
      <c r="D192" s="149">
        <f t="shared" ref="D192:L192" si="84">D140/D$158</f>
        <v>0.18128790829741831</v>
      </c>
      <c r="E192" s="149">
        <f t="shared" si="84"/>
        <v>0.55803949655110019</v>
      </c>
      <c r="F192" s="149">
        <f t="shared" si="84"/>
        <v>0.96753669888334448</v>
      </c>
      <c r="G192" s="149">
        <f t="shared" si="84"/>
        <v>1.1076491110097206</v>
      </c>
      <c r="H192" s="149">
        <f t="shared" si="84"/>
        <v>0.83570415761695904</v>
      </c>
      <c r="I192" s="149">
        <f t="shared" si="84"/>
        <v>1.8511568209036242</v>
      </c>
      <c r="J192" s="149">
        <f t="shared" si="84"/>
        <v>1.2158405739938589</v>
      </c>
      <c r="K192" s="149">
        <f t="shared" si="84"/>
        <v>0.73279886623443602</v>
      </c>
      <c r="L192" s="149">
        <f t="shared" si="84"/>
        <v>1.5791625418571338</v>
      </c>
      <c r="M192" s="149">
        <f t="shared" si="74"/>
        <v>1.0861236143874791</v>
      </c>
      <c r="N192" s="149">
        <f t="shared" si="74"/>
        <v>1.0463386121792748</v>
      </c>
      <c r="O192" s="149">
        <f t="shared" si="74"/>
        <v>1.1392703561802426</v>
      </c>
    </row>
    <row r="193" spans="1:15">
      <c r="A193">
        <v>13</v>
      </c>
      <c r="B193" s="124" t="s">
        <v>235</v>
      </c>
      <c r="D193" s="149">
        <f t="shared" ref="D193:L193" si="85">D141/D$158</f>
        <v>0.57989332054822196</v>
      </c>
      <c r="E193" s="149">
        <f t="shared" si="85"/>
        <v>0.7425110867585486</v>
      </c>
      <c r="F193" s="149">
        <f t="shared" si="85"/>
        <v>0.93628346992548117</v>
      </c>
      <c r="G193" s="149">
        <f t="shared" si="85"/>
        <v>0.97418319890134453</v>
      </c>
      <c r="H193" s="149">
        <f t="shared" si="85"/>
        <v>1.2755669524869226</v>
      </c>
      <c r="I193" s="149">
        <f t="shared" si="85"/>
        <v>0.99592642028176448</v>
      </c>
      <c r="J193" s="149">
        <f t="shared" si="85"/>
        <v>0.87209994183625528</v>
      </c>
      <c r="K193" s="149">
        <f t="shared" si="85"/>
        <v>0.87917421245805338</v>
      </c>
      <c r="L193" s="149">
        <f t="shared" si="85"/>
        <v>1.1510131167226567</v>
      </c>
      <c r="M193" s="149">
        <f t="shared" si="74"/>
        <v>1.1713956670066201</v>
      </c>
      <c r="N193" s="149">
        <f t="shared" si="74"/>
        <v>1.056896039979323</v>
      </c>
      <c r="O193" s="149">
        <f t="shared" si="74"/>
        <v>1.0406112539781878</v>
      </c>
    </row>
    <row r="194" spans="1:15">
      <c r="A194">
        <v>31</v>
      </c>
      <c r="B194" s="124" t="s">
        <v>236</v>
      </c>
      <c r="D194" s="149">
        <f t="shared" ref="D194:L194" si="86">D142/D$158</f>
        <v>0.25129231071703673</v>
      </c>
      <c r="E194" s="149">
        <f t="shared" si="86"/>
        <v>0.98976024973587717</v>
      </c>
      <c r="F194" s="149">
        <f t="shared" si="86"/>
        <v>0.9909399262152605</v>
      </c>
      <c r="G194" s="149">
        <f t="shared" si="86"/>
        <v>0.85265135211275156</v>
      </c>
      <c r="H194" s="149">
        <f t="shared" si="86"/>
        <v>0.97935966938449759</v>
      </c>
      <c r="I194" s="149">
        <f t="shared" si="86"/>
        <v>0.85808339617009843</v>
      </c>
      <c r="J194" s="149">
        <f t="shared" si="86"/>
        <v>1.5768840365157288</v>
      </c>
      <c r="K194" s="149">
        <f t="shared" si="86"/>
        <v>0.81441025399213063</v>
      </c>
      <c r="L194" s="149">
        <f t="shared" si="86"/>
        <v>0.97347644566382174</v>
      </c>
      <c r="M194" s="149">
        <f t="shared" si="74"/>
        <v>1.3521464349139249</v>
      </c>
      <c r="N194" s="149">
        <f t="shared" si="74"/>
        <v>0.96366948531779761</v>
      </c>
      <c r="O194" s="149">
        <f t="shared" si="74"/>
        <v>0.96513283472641165</v>
      </c>
    </row>
    <row r="195" spans="1:15">
      <c r="A195">
        <v>33</v>
      </c>
      <c r="B195" s="124" t="s">
        <v>114</v>
      </c>
      <c r="D195" s="149">
        <f t="shared" ref="D195:L195" si="87">D143/D$158</f>
        <v>3.1907211517866338</v>
      </c>
      <c r="E195" s="149">
        <f t="shared" si="87"/>
        <v>0.74190724666985319</v>
      </c>
      <c r="F195" s="149">
        <f t="shared" si="87"/>
        <v>1.0281032496227409</v>
      </c>
      <c r="G195" s="149">
        <f t="shared" si="87"/>
        <v>1.0271710595276764</v>
      </c>
      <c r="H195" s="149">
        <f t="shared" si="87"/>
        <v>1.0277442154561558</v>
      </c>
      <c r="I195" s="149">
        <f t="shared" si="87"/>
        <v>0.98718966895650262</v>
      </c>
      <c r="J195" s="149">
        <f t="shared" si="87"/>
        <v>1.0117491888437962</v>
      </c>
      <c r="K195" s="149">
        <f t="shared" si="87"/>
        <v>1.1000393571918192</v>
      </c>
      <c r="L195" s="149">
        <f t="shared" si="87"/>
        <v>1.0638787474040583</v>
      </c>
      <c r="M195" s="149">
        <f t="shared" si="74"/>
        <v>0.96544205979845543</v>
      </c>
      <c r="N195" s="149">
        <f t="shared" si="74"/>
        <v>1.0230417733302424</v>
      </c>
      <c r="O195" s="149">
        <f t="shared" si="74"/>
        <v>0.90458253713006298</v>
      </c>
    </row>
    <row r="196" spans="1:15">
      <c r="A196">
        <v>34</v>
      </c>
      <c r="B196" s="124" t="s">
        <v>237</v>
      </c>
      <c r="D196" s="149">
        <f t="shared" ref="D196:L196" si="88">D144/D$158</f>
        <v>1.0732293181122456</v>
      </c>
      <c r="E196" s="149">
        <f t="shared" si="88"/>
        <v>0.48430642800923163</v>
      </c>
      <c r="F196" s="149">
        <f t="shared" si="88"/>
        <v>0.97515357035636951</v>
      </c>
      <c r="G196" s="149">
        <f t="shared" si="88"/>
        <v>1.094826771186225</v>
      </c>
      <c r="H196" s="149">
        <f t="shared" si="88"/>
        <v>0.81467654360284569</v>
      </c>
      <c r="I196" s="149">
        <f t="shared" si="88"/>
        <v>1.1716482839348836</v>
      </c>
      <c r="J196" s="149">
        <f t="shared" si="88"/>
        <v>1.0341372170303931</v>
      </c>
      <c r="K196" s="149">
        <f t="shared" si="88"/>
        <v>0.81966240093168019</v>
      </c>
      <c r="L196" s="149">
        <f t="shared" si="88"/>
        <v>1.1939833173370802</v>
      </c>
      <c r="M196" s="149">
        <f t="shared" si="74"/>
        <v>0.99403088327668698</v>
      </c>
      <c r="N196" s="149">
        <f t="shared" si="74"/>
        <v>1.1943797416625923</v>
      </c>
      <c r="O196" s="149">
        <f t="shared" si="74"/>
        <v>1.1644306520753911</v>
      </c>
    </row>
    <row r="197" spans="1:15">
      <c r="A197">
        <v>35</v>
      </c>
      <c r="B197" s="124" t="s">
        <v>238</v>
      </c>
      <c r="D197" s="149">
        <f t="shared" ref="D197:L197" si="89">D145/D$158</f>
        <v>0.99556158607356438</v>
      </c>
      <c r="E197" s="149">
        <f t="shared" si="89"/>
        <v>1.0716817791172952</v>
      </c>
      <c r="F197" s="149">
        <f t="shared" si="89"/>
        <v>1.0503211469097911</v>
      </c>
      <c r="G197" s="149">
        <f t="shared" si="89"/>
        <v>0.94268659177768066</v>
      </c>
      <c r="H197" s="149">
        <f t="shared" si="89"/>
        <v>1.074749585441942</v>
      </c>
      <c r="I197" s="149">
        <f t="shared" si="89"/>
        <v>0.80262136315917953</v>
      </c>
      <c r="J197" s="149">
        <f t="shared" si="89"/>
        <v>1.4267116707813579</v>
      </c>
      <c r="K197" s="149">
        <f t="shared" si="89"/>
        <v>0.81857972214314934</v>
      </c>
      <c r="L197" s="149">
        <f t="shared" si="89"/>
        <v>0.7799800387346304</v>
      </c>
      <c r="M197" s="149">
        <f t="shared" si="74"/>
        <v>0.91837383116829829</v>
      </c>
      <c r="N197" s="149">
        <f t="shared" si="74"/>
        <v>1.0224273863594295</v>
      </c>
      <c r="O197" s="149">
        <f t="shared" si="74"/>
        <v>0.89075784344164322</v>
      </c>
    </row>
    <row r="198" spans="1:15">
      <c r="A198">
        <v>38</v>
      </c>
      <c r="B198" s="124" t="s">
        <v>239</v>
      </c>
      <c r="D198" s="149">
        <f t="shared" ref="D198:L198" si="90">D146/D$158</f>
        <v>0.35367900073212838</v>
      </c>
      <c r="E198" s="149">
        <f t="shared" si="90"/>
        <v>1.3551763779897914</v>
      </c>
      <c r="F198" s="149">
        <f t="shared" si="90"/>
        <v>1.0638859279969402</v>
      </c>
      <c r="G198" s="149">
        <f t="shared" si="90"/>
        <v>0.94782733760455395</v>
      </c>
      <c r="H198" s="149">
        <f t="shared" si="90"/>
        <v>0.90961813332269892</v>
      </c>
      <c r="I198" s="149">
        <f t="shared" si="90"/>
        <v>0.84050182377081806</v>
      </c>
      <c r="J198" s="149">
        <f t="shared" si="90"/>
        <v>0.97751519799182218</v>
      </c>
      <c r="K198" s="149">
        <f t="shared" si="90"/>
        <v>0.65636835404355187</v>
      </c>
      <c r="L198" s="149">
        <f t="shared" si="90"/>
        <v>0.86867330754782079</v>
      </c>
      <c r="M198" s="149">
        <f t="shared" si="74"/>
        <v>1.0353659457547253</v>
      </c>
      <c r="N198" s="149">
        <f t="shared" si="74"/>
        <v>0.97042288654339304</v>
      </c>
      <c r="O198" s="149">
        <f t="shared" si="74"/>
        <v>0.81708379980805068</v>
      </c>
    </row>
    <row r="199" spans="1:15">
      <c r="A199">
        <v>44</v>
      </c>
      <c r="B199" s="124" t="s">
        <v>240</v>
      </c>
      <c r="D199" s="149">
        <f t="shared" ref="D199:L199" si="91">D147/D$158</f>
        <v>0.90815338537102841</v>
      </c>
      <c r="E199" s="149">
        <f t="shared" si="91"/>
        <v>1.0102737410409726</v>
      </c>
      <c r="F199" s="149">
        <f t="shared" si="91"/>
        <v>1.1125329023421378</v>
      </c>
      <c r="G199" s="149">
        <f t="shared" si="91"/>
        <v>1.0029224260057823</v>
      </c>
      <c r="H199" s="149">
        <f t="shared" si="91"/>
        <v>1.0256077449863095</v>
      </c>
      <c r="I199" s="149">
        <f t="shared" si="91"/>
        <v>0.81086666544967123</v>
      </c>
      <c r="J199" s="149">
        <f t="shared" si="91"/>
        <v>1.4507196855393154</v>
      </c>
      <c r="K199" s="149">
        <f t="shared" si="91"/>
        <v>1.0508000096786045</v>
      </c>
      <c r="L199" s="149">
        <f t="shared" si="91"/>
        <v>0.85616618147169898</v>
      </c>
      <c r="M199" s="149">
        <f t="shared" si="74"/>
        <v>1.0439870814144423</v>
      </c>
      <c r="N199" s="149">
        <f t="shared" si="74"/>
        <v>0.93967359791269955</v>
      </c>
      <c r="O199" s="149">
        <f t="shared" si="74"/>
        <v>0.95781238739598296</v>
      </c>
    </row>
    <row r="200" spans="1:15">
      <c r="A200">
        <v>59</v>
      </c>
      <c r="B200" s="124" t="s">
        <v>241</v>
      </c>
      <c r="D200" s="149">
        <f t="shared" ref="D200:L200" si="92">D148/D$158</f>
        <v>0.54717438838898169</v>
      </c>
      <c r="E200" s="149">
        <f t="shared" si="92"/>
        <v>1.0273666030211823</v>
      </c>
      <c r="F200" s="149">
        <f t="shared" si="92"/>
        <v>0.90476290954803362</v>
      </c>
      <c r="G200" s="149">
        <f t="shared" si="92"/>
        <v>1.030624970140922</v>
      </c>
      <c r="H200" s="149">
        <f t="shared" si="92"/>
        <v>0.93986151865437162</v>
      </c>
      <c r="I200" s="149">
        <f t="shared" si="92"/>
        <v>0.71489752298293296</v>
      </c>
      <c r="J200" s="149">
        <f t="shared" si="92"/>
        <v>0.86837682653842729</v>
      </c>
      <c r="K200" s="149">
        <f t="shared" si="92"/>
        <v>0.97798653229874366</v>
      </c>
      <c r="L200" s="149">
        <f t="shared" si="92"/>
        <v>0.88755581971151853</v>
      </c>
      <c r="M200" s="149">
        <f t="shared" si="74"/>
        <v>0.939359333862686</v>
      </c>
      <c r="N200" s="149">
        <f t="shared" si="74"/>
        <v>1.1205091174356405</v>
      </c>
      <c r="O200" s="149">
        <f t="shared" si="74"/>
        <v>0.79477095423909927</v>
      </c>
    </row>
    <row r="201" spans="1:15">
      <c r="A201">
        <v>62</v>
      </c>
      <c r="B201" s="124" t="s">
        <v>247</v>
      </c>
      <c r="D201" s="149">
        <f t="shared" ref="D201:L201" si="93">D149/D$158</f>
        <v>1.0777853345698716</v>
      </c>
      <c r="E201" s="149">
        <f t="shared" si="93"/>
        <v>1.1591865583200185</v>
      </c>
      <c r="F201" s="149">
        <f t="shared" si="93"/>
        <v>1.1076841627334686</v>
      </c>
      <c r="G201" s="149">
        <f t="shared" si="93"/>
        <v>1.0169167558140635</v>
      </c>
      <c r="H201" s="149">
        <f t="shared" si="93"/>
        <v>1.0718073352265878</v>
      </c>
      <c r="I201" s="149">
        <f t="shared" si="93"/>
        <v>0.79196424709591817</v>
      </c>
      <c r="J201" s="149">
        <f t="shared" si="93"/>
        <v>0.21213567681338485</v>
      </c>
      <c r="K201" s="149">
        <f t="shared" si="93"/>
        <v>0.55846247515378677</v>
      </c>
      <c r="L201" s="149">
        <f t="shared" si="93"/>
        <v>0.84125832960549374</v>
      </c>
      <c r="M201" s="149">
        <f t="shared" si="74"/>
        <v>0.68607704403855474</v>
      </c>
      <c r="N201" s="149">
        <f t="shared" si="74"/>
        <v>1.1867282833514323</v>
      </c>
      <c r="O201" s="149">
        <f t="shared" si="74"/>
        <v>0.75316184510791195</v>
      </c>
    </row>
    <row r="202" spans="1:15">
      <c r="A202">
        <v>67</v>
      </c>
      <c r="B202" s="124" t="s">
        <v>242</v>
      </c>
      <c r="D202" s="149">
        <f t="shared" ref="D202:L202" si="94">D150/D$158</f>
        <v>0.75178593918420744</v>
      </c>
      <c r="E202" s="149">
        <f t="shared" si="94"/>
        <v>1.3385666252215256</v>
      </c>
      <c r="F202" s="149">
        <f t="shared" si="94"/>
        <v>1.0078503459522303</v>
      </c>
      <c r="G202" s="149">
        <f t="shared" si="94"/>
        <v>1.1274152665800936</v>
      </c>
      <c r="H202" s="149">
        <f t="shared" si="94"/>
        <v>0.95191673071745198</v>
      </c>
      <c r="I202" s="149">
        <f t="shared" si="94"/>
        <v>1.0497268445684982</v>
      </c>
      <c r="J202" s="149">
        <f t="shared" si="94"/>
        <v>0.71830724667906654</v>
      </c>
      <c r="K202" s="149">
        <f t="shared" si="94"/>
        <v>0.98276953141123136</v>
      </c>
      <c r="L202" s="149">
        <f t="shared" si="94"/>
        <v>0.75546548462757246</v>
      </c>
      <c r="M202" s="149">
        <f t="shared" ref="M202:O210" si="95">M150/M$158</f>
        <v>0.87069523317369668</v>
      </c>
      <c r="N202" s="149">
        <f t="shared" si="95"/>
        <v>0.90334090022948166</v>
      </c>
      <c r="O202" s="149">
        <f t="shared" si="95"/>
        <v>0.88765199138653617</v>
      </c>
    </row>
    <row r="203" spans="1:15">
      <c r="A203">
        <v>69</v>
      </c>
      <c r="B203" s="124" t="s">
        <v>243</v>
      </c>
      <c r="D203" s="149">
        <f t="shared" ref="D203:L203" si="96">D151/D$158</f>
        <v>0.26522265422091795</v>
      </c>
      <c r="E203" s="149">
        <f t="shared" si="96"/>
        <v>0.95790611067823894</v>
      </c>
      <c r="F203" s="149">
        <f t="shared" si="96"/>
        <v>0.95700302957150229</v>
      </c>
      <c r="G203" s="149">
        <f t="shared" si="96"/>
        <v>0.97100410970407203</v>
      </c>
      <c r="H203" s="149">
        <f t="shared" si="96"/>
        <v>1.0884498263282225</v>
      </c>
      <c r="I203" s="149">
        <f t="shared" si="96"/>
        <v>0.95999677324738542</v>
      </c>
      <c r="J203" s="149">
        <f t="shared" si="96"/>
        <v>1.4414924844442198</v>
      </c>
      <c r="K203" s="149">
        <f t="shared" si="96"/>
        <v>1.0238217536966079</v>
      </c>
      <c r="L203" s="149">
        <f t="shared" si="96"/>
        <v>1.1568032702441544</v>
      </c>
      <c r="M203" s="149">
        <f t="shared" si="95"/>
        <v>1.3001155860552971</v>
      </c>
      <c r="N203" s="149">
        <f t="shared" si="95"/>
        <v>0.90266771948150193</v>
      </c>
      <c r="O203" s="149">
        <f t="shared" si="95"/>
        <v>0.94507034182849636</v>
      </c>
    </row>
    <row r="204" spans="1:15">
      <c r="A204">
        <v>76</v>
      </c>
      <c r="B204" s="124" t="s">
        <v>244</v>
      </c>
      <c r="D204" s="149">
        <f t="shared" ref="D204:L204" si="97">D152/D$158</f>
        <v>0.66277076872391805</v>
      </c>
      <c r="E204" s="149">
        <f t="shared" si="97"/>
        <v>1.2571369483127808</v>
      </c>
      <c r="F204" s="149">
        <f t="shared" si="97"/>
        <v>1.098411906826253</v>
      </c>
      <c r="G204" s="149">
        <f t="shared" si="97"/>
        <v>0.88404248340948721</v>
      </c>
      <c r="H204" s="149">
        <f t="shared" si="97"/>
        <v>1.366540280369912</v>
      </c>
      <c r="I204" s="149">
        <f t="shared" si="97"/>
        <v>0.71585186756018548</v>
      </c>
      <c r="J204" s="149">
        <f t="shared" si="97"/>
        <v>0.36539176599746936</v>
      </c>
      <c r="K204" s="149">
        <f t="shared" si="97"/>
        <v>0.88741939353546428</v>
      </c>
      <c r="L204" s="149">
        <f t="shared" si="97"/>
        <v>1.0539124657517014</v>
      </c>
      <c r="M204" s="149">
        <f t="shared" si="95"/>
        <v>0.7716725022664559</v>
      </c>
      <c r="N204" s="149">
        <f t="shared" si="95"/>
        <v>1.0640500690065464</v>
      </c>
      <c r="O204" s="149">
        <f t="shared" si="95"/>
        <v>0.90729492233574793</v>
      </c>
    </row>
    <row r="205" spans="1:15">
      <c r="A205">
        <v>83</v>
      </c>
      <c r="B205" s="124" t="s">
        <v>245</v>
      </c>
      <c r="D205" s="149">
        <f t="shared" ref="D205:L205" si="98">D153/D$158</f>
        <v>1.2258575637210163</v>
      </c>
      <c r="E205" s="149">
        <f t="shared" si="98"/>
        <v>0.5245929302470026</v>
      </c>
      <c r="F205" s="149">
        <f t="shared" si="98"/>
        <v>1.1874582207031248</v>
      </c>
      <c r="G205" s="149">
        <f t="shared" si="98"/>
        <v>1.2272825914044267</v>
      </c>
      <c r="H205" s="149">
        <f t="shared" si="98"/>
        <v>0.75806356905139949</v>
      </c>
      <c r="I205" s="149">
        <f t="shared" si="98"/>
        <v>1.4604187895832468</v>
      </c>
      <c r="J205" s="149">
        <f t="shared" si="98"/>
        <v>0.35575854398257112</v>
      </c>
      <c r="K205" s="149">
        <f t="shared" si="98"/>
        <v>0.80032079730441996</v>
      </c>
      <c r="L205" s="149">
        <f t="shared" si="98"/>
        <v>1.5299850337159928</v>
      </c>
      <c r="M205" s="149">
        <f t="shared" si="95"/>
        <v>0.74417403468129328</v>
      </c>
      <c r="N205" s="149">
        <f t="shared" si="95"/>
        <v>1.1987982363520784</v>
      </c>
      <c r="O205" s="149">
        <f t="shared" si="95"/>
        <v>1.1214035409575736</v>
      </c>
    </row>
    <row r="206" spans="1:15">
      <c r="A206">
        <v>84</v>
      </c>
      <c r="B206" s="124" t="s">
        <v>246</v>
      </c>
      <c r="D206" s="149">
        <f t="shared" ref="D206:L206" si="99">D154/D$158</f>
        <v>2.5686300618900608</v>
      </c>
      <c r="E206" s="149">
        <f t="shared" si="99"/>
        <v>0.79081215893186185</v>
      </c>
      <c r="F206" s="149">
        <f t="shared" si="99"/>
        <v>1.1066189811337108</v>
      </c>
      <c r="G206" s="149">
        <f t="shared" si="99"/>
        <v>1.3040960131281465</v>
      </c>
      <c r="H206" s="149">
        <f t="shared" si="99"/>
        <v>1.096927861036904</v>
      </c>
      <c r="I206" s="149">
        <f t="shared" si="99"/>
        <v>1.0146706323736674</v>
      </c>
      <c r="J206" s="149">
        <f t="shared" si="99"/>
        <v>0.34081221678503332</v>
      </c>
      <c r="K206" s="149">
        <f t="shared" si="99"/>
        <v>0.68066183655411383</v>
      </c>
      <c r="L206" s="149">
        <f t="shared" si="99"/>
        <v>1.0267582725316016</v>
      </c>
      <c r="M206" s="149">
        <f t="shared" si="95"/>
        <v>0.75427250015023029</v>
      </c>
      <c r="N206" s="149">
        <f t="shared" si="95"/>
        <v>1.0549313618355867</v>
      </c>
      <c r="O206" s="149">
        <f t="shared" si="95"/>
        <v>1.0049808959801991</v>
      </c>
    </row>
    <row r="207" spans="1:15">
      <c r="A207">
        <v>72</v>
      </c>
      <c r="B207" s="124" t="s">
        <v>74</v>
      </c>
      <c r="D207" s="149">
        <f t="shared" ref="D207:L207" si="100">D155/D$158</f>
        <v>2.5504091998265794</v>
      </c>
      <c r="E207" s="149">
        <f t="shared" si="100"/>
        <v>0.93403467274070995</v>
      </c>
      <c r="F207" s="149">
        <f t="shared" si="100"/>
        <v>1.0832286752676916</v>
      </c>
      <c r="G207" s="149">
        <f t="shared" si="100"/>
        <v>1.0734366083391724</v>
      </c>
      <c r="H207" s="149">
        <f t="shared" si="100"/>
        <v>0.94115869184307299</v>
      </c>
      <c r="I207" s="149">
        <f t="shared" si="100"/>
        <v>0.96546535237922348</v>
      </c>
      <c r="J207" s="149">
        <f t="shared" si="100"/>
        <v>0.66264501108553842</v>
      </c>
      <c r="K207" s="149">
        <f t="shared" si="100"/>
        <v>0.89464278047289947</v>
      </c>
      <c r="L207" s="149">
        <f t="shared" si="100"/>
        <v>0.93156984777593332</v>
      </c>
      <c r="M207" s="149">
        <f t="shared" si="95"/>
        <v>0.81783056776595264</v>
      </c>
      <c r="N207" s="149">
        <f t="shared" si="95"/>
        <v>1.0641532098327364</v>
      </c>
      <c r="O207" s="149">
        <f t="shared" si="95"/>
        <v>0.91666770862836411</v>
      </c>
    </row>
    <row r="208" spans="1:15">
      <c r="A208">
        <v>243300316</v>
      </c>
      <c r="B208" s="124" t="s">
        <v>411</v>
      </c>
      <c r="D208" s="149">
        <f t="shared" ref="D208:L209" si="101">D156/D$158</f>
        <v>0.21127457984471112</v>
      </c>
      <c r="E208" s="149">
        <f t="shared" si="101"/>
        <v>0.65397194139406079</v>
      </c>
      <c r="F208" s="149">
        <f t="shared" si="101"/>
        <v>0.90286908000180721</v>
      </c>
      <c r="G208" s="149">
        <f t="shared" si="101"/>
        <v>0.93482973332952635</v>
      </c>
      <c r="H208" s="149">
        <f t="shared" si="101"/>
        <v>1.0625857922867064</v>
      </c>
      <c r="I208" s="149">
        <f t="shared" si="101"/>
        <v>1.0364581999434908</v>
      </c>
      <c r="J208" s="149">
        <f t="shared" si="101"/>
        <v>1.3741082414667152</v>
      </c>
      <c r="K208" s="149">
        <f t="shared" si="101"/>
        <v>1.3974558130112456</v>
      </c>
      <c r="L208" s="149">
        <f t="shared" si="101"/>
        <v>1.2904469379962817</v>
      </c>
      <c r="M208" s="149">
        <f t="shared" si="95"/>
        <v>1.0750251502263097</v>
      </c>
      <c r="N208" s="149">
        <f t="shared" si="95"/>
        <v>1.0892694279216573</v>
      </c>
      <c r="O208" s="149">
        <f t="shared" si="95"/>
        <v>0.9907506462515473</v>
      </c>
    </row>
    <row r="209" spans="1:15">
      <c r="A209" s="56">
        <v>75</v>
      </c>
      <c r="B209" s="124" t="s">
        <v>1406</v>
      </c>
      <c r="D209" s="149">
        <f t="shared" si="101"/>
        <v>2.376516421058275</v>
      </c>
      <c r="E209" s="149">
        <f t="shared" si="101"/>
        <v>1.0098467587142124</v>
      </c>
      <c r="F209" s="149">
        <f t="shared" si="101"/>
        <v>1.0586324248191223</v>
      </c>
      <c r="G209" s="149">
        <f t="shared" si="101"/>
        <v>1.0429539683006908</v>
      </c>
      <c r="H209" s="149">
        <f t="shared" si="101"/>
        <v>0.91586689715609382</v>
      </c>
      <c r="I209" s="149">
        <f t="shared" si="101"/>
        <v>0.88453315485135919</v>
      </c>
      <c r="J209" s="149">
        <f t="shared" si="101"/>
        <v>0.53315361831552099</v>
      </c>
      <c r="K209" s="149">
        <f t="shared" si="101"/>
        <v>0.96279978249200471</v>
      </c>
      <c r="L209" s="149">
        <f t="shared" si="101"/>
        <v>0.83039738672071783</v>
      </c>
      <c r="M209" s="149">
        <f t="shared" si="95"/>
        <v>0.74589297529695742</v>
      </c>
      <c r="N209" s="149">
        <f t="shared" si="95"/>
        <v>1.1035047411931316</v>
      </c>
      <c r="O209" s="149">
        <f t="shared" si="95"/>
        <v>0.91502048616420473</v>
      </c>
    </row>
    <row r="210" spans="1:15">
      <c r="B210" s="124" t="s">
        <v>1141</v>
      </c>
      <c r="D210" s="149">
        <f t="shared" ref="D210:L210" si="102">D158/D$158</f>
        <v>1</v>
      </c>
      <c r="E210" s="149">
        <f t="shared" si="102"/>
        <v>1</v>
      </c>
      <c r="F210" s="149">
        <f t="shared" si="102"/>
        <v>1</v>
      </c>
      <c r="G210" s="149">
        <f t="shared" si="102"/>
        <v>1</v>
      </c>
      <c r="H210" s="149">
        <f t="shared" si="102"/>
        <v>1</v>
      </c>
      <c r="I210" s="149">
        <f t="shared" si="102"/>
        <v>1</v>
      </c>
      <c r="J210" s="149">
        <f t="shared" si="102"/>
        <v>1</v>
      </c>
      <c r="K210" s="149">
        <f t="shared" si="102"/>
        <v>1</v>
      </c>
      <c r="L210" s="149">
        <f t="shared" si="102"/>
        <v>1</v>
      </c>
      <c r="M210" s="149">
        <f t="shared" si="95"/>
        <v>1</v>
      </c>
      <c r="N210" s="149">
        <f t="shared" si="95"/>
        <v>1</v>
      </c>
      <c r="O210" s="149">
        <f t="shared" si="95"/>
        <v>1</v>
      </c>
    </row>
    <row r="212" spans="1:15">
      <c r="A212" s="151" t="s">
        <v>422</v>
      </c>
      <c r="B212" s="150"/>
      <c r="C212" s="147"/>
      <c r="D212" s="147"/>
      <c r="E212" s="147"/>
      <c r="F212" s="147"/>
      <c r="G212" s="147"/>
    </row>
    <row r="213" spans="1:15">
      <c r="A213" s="146"/>
      <c r="B213" s="147"/>
      <c r="C213" s="147"/>
      <c r="D213" s="146" t="s">
        <v>252</v>
      </c>
      <c r="E213" s="147"/>
      <c r="F213" s="147"/>
      <c r="G213" s="147"/>
    </row>
    <row r="214" spans="1:15">
      <c r="A214" s="150" t="s">
        <v>275</v>
      </c>
      <c r="B214" s="150" t="s">
        <v>295</v>
      </c>
      <c r="C214" s="150"/>
      <c r="D214" s="150" t="s">
        <v>275</v>
      </c>
      <c r="E214" s="147"/>
      <c r="F214" s="147"/>
      <c r="G214" s="147">
        <v>1</v>
      </c>
    </row>
    <row r="215" spans="1:15">
      <c r="A215" s="150" t="s">
        <v>276</v>
      </c>
      <c r="B215" s="150" t="s">
        <v>296</v>
      </c>
      <c r="C215" s="150"/>
      <c r="D215" s="150" t="s">
        <v>1160</v>
      </c>
      <c r="E215" s="147"/>
      <c r="F215" s="147"/>
      <c r="G215" s="147">
        <v>2</v>
      </c>
      <c r="I215" s="150" t="s">
        <v>1160</v>
      </c>
    </row>
    <row r="216" spans="1:15">
      <c r="A216" s="150" t="s">
        <v>277</v>
      </c>
      <c r="B216" s="150" t="s">
        <v>297</v>
      </c>
      <c r="C216" s="150"/>
      <c r="D216" s="150" t="s">
        <v>1158</v>
      </c>
      <c r="E216" s="147"/>
      <c r="F216" s="147"/>
      <c r="G216" s="147">
        <v>2</v>
      </c>
    </row>
    <row r="217" spans="1:15">
      <c r="A217" s="150" t="s">
        <v>811</v>
      </c>
      <c r="B217" s="150" t="s">
        <v>298</v>
      </c>
      <c r="C217" s="150"/>
      <c r="D217" s="150" t="s">
        <v>414</v>
      </c>
      <c r="E217" s="147"/>
      <c r="F217" s="147"/>
      <c r="G217" s="147">
        <v>2</v>
      </c>
    </row>
    <row r="218" spans="1:15">
      <c r="A218" s="150" t="s">
        <v>279</v>
      </c>
      <c r="B218" s="150" t="s">
        <v>299</v>
      </c>
      <c r="C218" s="150"/>
      <c r="D218" s="150" t="s">
        <v>1159</v>
      </c>
      <c r="E218" s="147"/>
      <c r="F218" s="147"/>
      <c r="G218" s="147">
        <v>2</v>
      </c>
    </row>
    <row r="219" spans="1:15">
      <c r="A219" s="150" t="s">
        <v>280</v>
      </c>
      <c r="B219" s="150" t="s">
        <v>300</v>
      </c>
      <c r="C219" s="150"/>
      <c r="D219" s="150" t="s">
        <v>416</v>
      </c>
      <c r="E219" s="147"/>
      <c r="F219" s="147"/>
      <c r="G219" s="147">
        <v>2</v>
      </c>
    </row>
    <row r="220" spans="1:15">
      <c r="A220" s="150" t="s">
        <v>281</v>
      </c>
      <c r="B220" s="150" t="s">
        <v>301</v>
      </c>
      <c r="C220" s="150"/>
      <c r="D220" s="150" t="s">
        <v>417</v>
      </c>
      <c r="E220" s="147"/>
      <c r="F220" s="147"/>
      <c r="G220" s="147">
        <v>2</v>
      </c>
    </row>
    <row r="221" spans="1:15">
      <c r="A221" s="150" t="s">
        <v>282</v>
      </c>
      <c r="B221" s="150" t="s">
        <v>302</v>
      </c>
      <c r="C221" s="150"/>
      <c r="D221" s="150" t="s">
        <v>277</v>
      </c>
      <c r="E221" s="147"/>
      <c r="F221" s="147"/>
      <c r="G221" s="147">
        <v>3</v>
      </c>
    </row>
    <row r="222" spans="1:15">
      <c r="A222" s="150" t="s">
        <v>283</v>
      </c>
      <c r="B222" s="150" t="s">
        <v>303</v>
      </c>
      <c r="C222" s="150"/>
      <c r="D222" s="150" t="s">
        <v>418</v>
      </c>
      <c r="E222" s="147"/>
      <c r="F222" s="147"/>
      <c r="G222" s="147">
        <v>4</v>
      </c>
    </row>
    <row r="223" spans="1:15">
      <c r="A223" s="150" t="s">
        <v>284</v>
      </c>
      <c r="B223" s="150" t="s">
        <v>304</v>
      </c>
      <c r="C223" s="150"/>
      <c r="D223" s="150" t="s">
        <v>419</v>
      </c>
      <c r="E223" s="147"/>
      <c r="F223" s="147"/>
      <c r="G223" s="147">
        <v>5</v>
      </c>
    </row>
    <row r="224" spans="1:15">
      <c r="A224" s="150" t="s">
        <v>285</v>
      </c>
      <c r="B224" s="150" t="s">
        <v>305</v>
      </c>
      <c r="C224" s="150"/>
      <c r="D224" s="150" t="s">
        <v>280</v>
      </c>
      <c r="E224" s="147"/>
      <c r="F224" s="147"/>
      <c r="G224" s="147">
        <v>6</v>
      </c>
    </row>
    <row r="225" spans="1:20">
      <c r="A225" s="150" t="s">
        <v>286</v>
      </c>
      <c r="B225" s="150" t="s">
        <v>306</v>
      </c>
      <c r="C225" s="150"/>
      <c r="D225" s="150" t="s">
        <v>281</v>
      </c>
      <c r="E225" s="147"/>
      <c r="F225" s="147"/>
      <c r="G225" s="147">
        <v>7</v>
      </c>
    </row>
    <row r="226" spans="1:20">
      <c r="A226" s="150"/>
      <c r="B226" s="150"/>
      <c r="C226" s="150"/>
      <c r="D226" s="150" t="s">
        <v>282</v>
      </c>
      <c r="E226" s="147"/>
      <c r="F226" s="147"/>
      <c r="G226" s="147">
        <v>8</v>
      </c>
    </row>
    <row r="227" spans="1:20">
      <c r="A227" s="150"/>
      <c r="B227" s="150"/>
      <c r="C227" s="150"/>
      <c r="D227" s="150" t="s">
        <v>283</v>
      </c>
      <c r="E227" s="147"/>
      <c r="F227" s="147"/>
      <c r="G227" s="147">
        <v>9</v>
      </c>
    </row>
    <row r="228" spans="1:20">
      <c r="A228" s="150"/>
      <c r="B228" s="150"/>
      <c r="C228" s="150"/>
      <c r="D228" s="150" t="s">
        <v>420</v>
      </c>
      <c r="E228" s="147"/>
      <c r="F228" s="147"/>
      <c r="G228" s="147">
        <v>10</v>
      </c>
    </row>
    <row r="229" spans="1:20">
      <c r="A229" s="150"/>
      <c r="B229" s="150"/>
      <c r="C229" s="150"/>
      <c r="D229" s="150" t="s">
        <v>421</v>
      </c>
      <c r="E229" s="147"/>
      <c r="F229" s="147"/>
      <c r="G229" s="147">
        <v>11</v>
      </c>
    </row>
    <row r="230" spans="1:20">
      <c r="A230" s="150"/>
      <c r="B230" s="150"/>
      <c r="C230" s="150"/>
      <c r="D230" s="150" t="s">
        <v>286</v>
      </c>
      <c r="E230" s="147"/>
      <c r="F230" s="147"/>
      <c r="G230" s="147">
        <v>12</v>
      </c>
    </row>
    <row r="231" spans="1:20">
      <c r="A231" s="55"/>
      <c r="B231"/>
    </row>
    <row r="232" spans="1:20">
      <c r="A232" s="933"/>
      <c r="B232" s="929" t="s">
        <v>984</v>
      </c>
      <c r="C232" s="929" t="s">
        <v>1927</v>
      </c>
      <c r="D232" s="929"/>
      <c r="E232" s="929"/>
      <c r="F232" s="929"/>
      <c r="G232" s="929"/>
      <c r="H232" s="929"/>
      <c r="I232" s="929"/>
      <c r="J232" s="929"/>
      <c r="K232" s="929"/>
      <c r="L232" s="929"/>
      <c r="M232" s="929"/>
      <c r="N232" s="929"/>
      <c r="O232" s="929"/>
      <c r="P232" s="929"/>
      <c r="Q232" s="929"/>
      <c r="R232" s="929"/>
      <c r="S232" s="929"/>
      <c r="T232" s="929"/>
    </row>
    <row r="233" spans="1:20">
      <c r="A233" s="933"/>
      <c r="B233" s="929">
        <v>2014</v>
      </c>
      <c r="C233" s="929">
        <v>2009</v>
      </c>
      <c r="D233" s="929">
        <v>1999</v>
      </c>
      <c r="E233" s="929">
        <v>1990</v>
      </c>
      <c r="F233" s="929">
        <v>1982</v>
      </c>
      <c r="G233" s="934">
        <v>1975</v>
      </c>
      <c r="H233" s="929"/>
      <c r="I233" s="929"/>
      <c r="J233" s="929"/>
      <c r="K233" s="929"/>
      <c r="L233" s="929"/>
      <c r="M233" s="929"/>
      <c r="N233" s="929"/>
      <c r="O233" s="929"/>
      <c r="P233" s="929"/>
      <c r="Q233" s="929"/>
      <c r="R233" s="929"/>
      <c r="S233" s="929"/>
      <c r="T233" s="929"/>
    </row>
    <row r="234" spans="1:20">
      <c r="A234" s="935" t="s">
        <v>1902</v>
      </c>
      <c r="B234" s="935" t="s">
        <v>252</v>
      </c>
      <c r="C234" s="935" t="s">
        <v>1909</v>
      </c>
      <c r="D234" s="935" t="s">
        <v>1910</v>
      </c>
      <c r="E234" s="935" t="s">
        <v>1911</v>
      </c>
      <c r="F234" s="935" t="s">
        <v>1912</v>
      </c>
      <c r="G234" s="935" t="s">
        <v>1913</v>
      </c>
      <c r="H234" s="935" t="s">
        <v>1914</v>
      </c>
      <c r="I234" s="935" t="s">
        <v>1915</v>
      </c>
      <c r="J234" s="935" t="s">
        <v>1916</v>
      </c>
      <c r="K234" s="935" t="s">
        <v>1917</v>
      </c>
      <c r="L234" s="935" t="s">
        <v>1918</v>
      </c>
      <c r="M234" s="935" t="s">
        <v>1919</v>
      </c>
      <c r="N234" s="935" t="s">
        <v>1920</v>
      </c>
      <c r="O234" s="935" t="s">
        <v>1921</v>
      </c>
      <c r="P234" s="935" t="s">
        <v>1922</v>
      </c>
      <c r="Q234" s="935" t="s">
        <v>1923</v>
      </c>
      <c r="R234" s="935" t="s">
        <v>1924</v>
      </c>
      <c r="S234" s="935" t="s">
        <v>1925</v>
      </c>
      <c r="T234" s="935" t="s">
        <v>1926</v>
      </c>
    </row>
    <row r="235" spans="1:20">
      <c r="A235" s="935">
        <v>2</v>
      </c>
      <c r="B235" s="935" t="s">
        <v>29</v>
      </c>
      <c r="C235" s="935">
        <v>1002781.22675217</v>
      </c>
      <c r="D235" s="935">
        <v>401361.87022730801</v>
      </c>
      <c r="E235" s="935">
        <v>601419.35652484302</v>
      </c>
      <c r="F235" s="935">
        <v>964189.48533107399</v>
      </c>
      <c r="G235" s="935">
        <v>388887.86835534201</v>
      </c>
      <c r="H235" s="935">
        <v>575301.61697571899</v>
      </c>
      <c r="I235" s="935">
        <v>821426</v>
      </c>
      <c r="J235" s="935">
        <v>351077</v>
      </c>
      <c r="K235" s="935">
        <v>470349</v>
      </c>
      <c r="L235" s="935">
        <v>784686</v>
      </c>
      <c r="M235" s="935">
        <v>349025</v>
      </c>
      <c r="N235" s="935">
        <v>435661</v>
      </c>
      <c r="O235" s="935">
        <v>725640</v>
      </c>
      <c r="P235" s="935">
        <v>333172</v>
      </c>
      <c r="Q235" s="935">
        <v>392468</v>
      </c>
      <c r="R235" s="935">
        <v>707895</v>
      </c>
      <c r="S235" s="935">
        <v>356940</v>
      </c>
      <c r="T235" s="935">
        <v>350955</v>
      </c>
    </row>
    <row r="236" spans="1:20">
      <c r="A236" s="935">
        <v>3</v>
      </c>
      <c r="B236" s="935" t="s">
        <v>59</v>
      </c>
      <c r="C236" s="935">
        <v>688616.69568860496</v>
      </c>
      <c r="D236" s="935">
        <v>212877.62409091301</v>
      </c>
      <c r="E236" s="935">
        <v>475739.07159767498</v>
      </c>
      <c r="F236" s="935">
        <v>682053.36250139296</v>
      </c>
      <c r="G236" s="935">
        <v>209257.03799648301</v>
      </c>
      <c r="H236" s="935">
        <v>472796.32450490899</v>
      </c>
      <c r="I236" s="935">
        <v>571227</v>
      </c>
      <c r="J236" s="935">
        <v>176654</v>
      </c>
      <c r="K236" s="935">
        <v>394573</v>
      </c>
      <c r="L236" s="935">
        <v>552974</v>
      </c>
      <c r="M236" s="935">
        <v>184901</v>
      </c>
      <c r="N236" s="935">
        <v>368073</v>
      </c>
      <c r="O236" s="935">
        <v>532012</v>
      </c>
      <c r="P236" s="935">
        <v>191136</v>
      </c>
      <c r="Q236" s="935">
        <v>340876</v>
      </c>
      <c r="R236" s="935">
        <v>523395</v>
      </c>
      <c r="S236" s="935">
        <v>201265</v>
      </c>
      <c r="T236" s="935">
        <v>322130</v>
      </c>
    </row>
    <row r="237" spans="1:20">
      <c r="A237" s="935">
        <v>4</v>
      </c>
      <c r="B237" s="935" t="s">
        <v>32</v>
      </c>
      <c r="C237" s="935">
        <v>591640.50232694298</v>
      </c>
      <c r="D237" s="935">
        <v>226841.56028870799</v>
      </c>
      <c r="E237" s="935">
        <v>364798.94203825301</v>
      </c>
      <c r="F237" s="935">
        <v>555743.50859269605</v>
      </c>
      <c r="G237" s="935">
        <v>211289.12237073801</v>
      </c>
      <c r="H237" s="935">
        <v>344454.386221967</v>
      </c>
      <c r="I237" s="935">
        <v>416571</v>
      </c>
      <c r="J237" s="935">
        <v>153943</v>
      </c>
      <c r="K237" s="935">
        <v>262628</v>
      </c>
      <c r="L237" s="935">
        <v>366033</v>
      </c>
      <c r="M237" s="935">
        <v>138211</v>
      </c>
      <c r="N237" s="935">
        <v>227822</v>
      </c>
      <c r="O237" s="935">
        <v>307608</v>
      </c>
      <c r="P237" s="935">
        <v>115980</v>
      </c>
      <c r="Q237" s="935">
        <v>191628</v>
      </c>
      <c r="R237" s="935">
        <v>280020</v>
      </c>
      <c r="S237" s="935">
        <v>111410</v>
      </c>
      <c r="T237" s="935">
        <v>168610</v>
      </c>
    </row>
    <row r="238" spans="1:20">
      <c r="A238" s="935">
        <v>5</v>
      </c>
      <c r="B238" s="935" t="s">
        <v>34</v>
      </c>
      <c r="C238" s="935">
        <v>517772.38285221899</v>
      </c>
      <c r="D238" s="935">
        <v>174310.279542087</v>
      </c>
      <c r="E238" s="935">
        <v>343462.10331013898</v>
      </c>
      <c r="F238" s="935">
        <v>506394.128798472</v>
      </c>
      <c r="G238" s="935">
        <v>176335.95156495701</v>
      </c>
      <c r="H238" s="935">
        <v>330058.17723351601</v>
      </c>
      <c r="I238" s="935">
        <v>452917</v>
      </c>
      <c r="J238" s="935">
        <v>176304</v>
      </c>
      <c r="K238" s="935">
        <v>276613</v>
      </c>
      <c r="L238" s="935">
        <v>434345</v>
      </c>
      <c r="M238" s="935">
        <v>178074</v>
      </c>
      <c r="N238" s="935">
        <v>256271</v>
      </c>
      <c r="O238" s="935">
        <v>438864</v>
      </c>
      <c r="P238" s="935">
        <v>200432</v>
      </c>
      <c r="Q238" s="935">
        <v>238432</v>
      </c>
      <c r="R238" s="935">
        <v>442290</v>
      </c>
      <c r="S238" s="935">
        <v>221965</v>
      </c>
      <c r="T238" s="935">
        <v>220325</v>
      </c>
    </row>
    <row r="239" spans="1:20">
      <c r="A239" s="935">
        <v>6</v>
      </c>
      <c r="B239" s="935" t="s">
        <v>61</v>
      </c>
      <c r="C239" s="935">
        <v>517338.84885263199</v>
      </c>
      <c r="D239" s="935">
        <v>167562.31509242699</v>
      </c>
      <c r="E239" s="935">
        <v>349776.533760202</v>
      </c>
      <c r="F239" s="935">
        <v>491051.47198954399</v>
      </c>
      <c r="G239" s="935">
        <v>164104.04729890099</v>
      </c>
      <c r="H239" s="935">
        <v>326947.424690641</v>
      </c>
      <c r="I239" s="935">
        <v>401427</v>
      </c>
      <c r="J239" s="935">
        <v>141053</v>
      </c>
      <c r="K239" s="935">
        <v>260374</v>
      </c>
      <c r="L239" s="935">
        <v>374313</v>
      </c>
      <c r="M239" s="935">
        <v>135838</v>
      </c>
      <c r="N239" s="935">
        <v>238475</v>
      </c>
      <c r="O239" s="935">
        <v>343464</v>
      </c>
      <c r="P239" s="935">
        <v>131888</v>
      </c>
      <c r="Q239" s="935">
        <v>211576</v>
      </c>
      <c r="R239" s="935">
        <v>325875</v>
      </c>
      <c r="S239" s="935">
        <v>137285</v>
      </c>
      <c r="T239" s="935">
        <v>188590</v>
      </c>
    </row>
    <row r="240" spans="1:20">
      <c r="A240" s="935">
        <v>7</v>
      </c>
      <c r="B240" s="935" t="s">
        <v>37</v>
      </c>
      <c r="C240" s="935">
        <v>390798.16017921001</v>
      </c>
      <c r="D240" s="935">
        <v>107774.37794357599</v>
      </c>
      <c r="E240" s="935">
        <v>283023.78223562398</v>
      </c>
      <c r="F240" s="935">
        <v>394898.86775302899</v>
      </c>
      <c r="G240" s="935">
        <v>107816.167354162</v>
      </c>
      <c r="H240" s="935">
        <v>287082.700398852</v>
      </c>
      <c r="I240" s="935">
        <v>333714</v>
      </c>
      <c r="J240" s="935">
        <v>91949</v>
      </c>
      <c r="K240" s="935">
        <v>241765</v>
      </c>
      <c r="L240" s="935">
        <v>328649</v>
      </c>
      <c r="M240" s="935">
        <v>94132</v>
      </c>
      <c r="N240" s="935">
        <v>234517</v>
      </c>
      <c r="O240" s="935">
        <v>288952</v>
      </c>
      <c r="P240" s="935">
        <v>81496</v>
      </c>
      <c r="Q240" s="935">
        <v>207456</v>
      </c>
      <c r="R240" s="935">
        <v>268245</v>
      </c>
      <c r="S240" s="935">
        <v>81175</v>
      </c>
      <c r="T240" s="935">
        <v>187070</v>
      </c>
    </row>
    <row r="241" spans="1:20">
      <c r="A241" s="935">
        <v>8</v>
      </c>
      <c r="B241" s="935" t="s">
        <v>39</v>
      </c>
      <c r="C241" s="935">
        <v>418143.41461464303</v>
      </c>
      <c r="D241" s="935">
        <v>153741.13184380799</v>
      </c>
      <c r="E241" s="935">
        <v>264402.28277085401</v>
      </c>
      <c r="F241" s="935">
        <v>394457.666227173</v>
      </c>
      <c r="G241" s="935">
        <v>144703.666972337</v>
      </c>
      <c r="H241" s="935">
        <v>249753.999254856</v>
      </c>
      <c r="I241" s="935">
        <v>315243</v>
      </c>
      <c r="J241" s="935">
        <v>118469</v>
      </c>
      <c r="K241" s="935">
        <v>196774</v>
      </c>
      <c r="L241" s="935">
        <v>276956</v>
      </c>
      <c r="M241" s="935">
        <v>107449</v>
      </c>
      <c r="N241" s="935">
        <v>169507</v>
      </c>
      <c r="O241" s="935">
        <v>260152</v>
      </c>
      <c r="P241" s="935">
        <v>109256</v>
      </c>
      <c r="Q241" s="935">
        <v>150896</v>
      </c>
      <c r="R241" s="935">
        <v>239200</v>
      </c>
      <c r="S241" s="935">
        <v>110745</v>
      </c>
      <c r="T241" s="935">
        <v>128455</v>
      </c>
    </row>
    <row r="242" spans="1:20">
      <c r="A242" s="935">
        <v>9</v>
      </c>
      <c r="B242" s="935" t="s">
        <v>41</v>
      </c>
      <c r="C242" s="935">
        <v>340655.96270918299</v>
      </c>
      <c r="D242" s="935">
        <v>122572.12977489999</v>
      </c>
      <c r="E242" s="935">
        <v>218083.83293429</v>
      </c>
      <c r="F242" s="935">
        <v>341074.20628038503</v>
      </c>
      <c r="G242" s="935">
        <v>124674.89024951799</v>
      </c>
      <c r="H242" s="935">
        <v>216399.31603087799</v>
      </c>
      <c r="I242" s="935">
        <v>306073</v>
      </c>
      <c r="J242" s="935">
        <v>121568</v>
      </c>
      <c r="K242" s="935">
        <v>184505</v>
      </c>
      <c r="L242" s="935">
        <v>280204</v>
      </c>
      <c r="M242" s="935">
        <v>113063</v>
      </c>
      <c r="N242" s="935">
        <v>167141</v>
      </c>
      <c r="O242" s="935">
        <v>262256</v>
      </c>
      <c r="P242" s="935">
        <v>109780</v>
      </c>
      <c r="Q242" s="935">
        <v>152476</v>
      </c>
      <c r="R242" s="935">
        <v>242190</v>
      </c>
      <c r="S242" s="935">
        <v>105620</v>
      </c>
      <c r="T242" s="935">
        <v>136570</v>
      </c>
    </row>
    <row r="243" spans="1:20">
      <c r="A243" s="935">
        <v>10</v>
      </c>
      <c r="B243" s="935" t="s">
        <v>43</v>
      </c>
      <c r="C243" s="935">
        <v>302050.57207688998</v>
      </c>
      <c r="D243" s="935">
        <v>111149.829672287</v>
      </c>
      <c r="E243" s="935">
        <v>190900.742404605</v>
      </c>
      <c r="F243" s="935">
        <v>298218.74189739802</v>
      </c>
      <c r="G243" s="935">
        <v>113091.04240093</v>
      </c>
      <c r="H243" s="935">
        <v>185127.69949646501</v>
      </c>
      <c r="I243" s="935">
        <v>257732</v>
      </c>
      <c r="J243" s="935">
        <v>105247</v>
      </c>
      <c r="K243" s="935">
        <v>152485</v>
      </c>
      <c r="L243" s="935">
        <v>244621</v>
      </c>
      <c r="M243" s="935">
        <v>103673</v>
      </c>
      <c r="N243" s="935">
        <v>140948</v>
      </c>
      <c r="O243" s="935">
        <v>225504</v>
      </c>
      <c r="P243" s="935">
        <v>102100</v>
      </c>
      <c r="Q243" s="935">
        <v>123404</v>
      </c>
      <c r="R243" s="935">
        <v>214110</v>
      </c>
      <c r="S243" s="935">
        <v>105320</v>
      </c>
      <c r="T243" s="935">
        <v>108790</v>
      </c>
    </row>
    <row r="244" spans="1:20">
      <c r="A244" s="935">
        <v>11</v>
      </c>
      <c r="B244" s="935" t="s">
        <v>45</v>
      </c>
      <c r="C244" s="935">
        <v>316427.96404752898</v>
      </c>
      <c r="D244" s="935">
        <v>112255.27253724499</v>
      </c>
      <c r="E244" s="935">
        <v>204172.69151027899</v>
      </c>
      <c r="F244" s="935">
        <v>305206.56023223797</v>
      </c>
      <c r="G244" s="935">
        <v>110605.82738000101</v>
      </c>
      <c r="H244" s="935">
        <v>194600.732852224</v>
      </c>
      <c r="I244" s="935">
        <v>245239</v>
      </c>
      <c r="J244" s="935">
        <v>91917</v>
      </c>
      <c r="K244" s="935">
        <v>153322</v>
      </c>
      <c r="L244" s="935">
        <v>218333</v>
      </c>
      <c r="M244" s="935">
        <v>86764</v>
      </c>
      <c r="N244" s="935">
        <v>131569</v>
      </c>
      <c r="O244" s="935">
        <v>198372</v>
      </c>
      <c r="P244" s="935">
        <v>83028</v>
      </c>
      <c r="Q244" s="935">
        <v>115344</v>
      </c>
      <c r="R244" s="935">
        <v>181660</v>
      </c>
      <c r="S244" s="935">
        <v>81610</v>
      </c>
      <c r="T244" s="935">
        <v>100050</v>
      </c>
    </row>
    <row r="245" spans="1:20">
      <c r="A245" s="935">
        <v>12</v>
      </c>
      <c r="B245" s="935" t="s">
        <v>47</v>
      </c>
      <c r="C245" s="935">
        <v>263058.48239495797</v>
      </c>
      <c r="D245" s="935">
        <v>81279.421076435596</v>
      </c>
      <c r="E245" s="935">
        <v>181779.061318527</v>
      </c>
      <c r="F245" s="935">
        <v>266359.15444470401</v>
      </c>
      <c r="G245" s="935">
        <v>84380.647283870901</v>
      </c>
      <c r="H245" s="935">
        <v>181978.50716083299</v>
      </c>
      <c r="I245" s="935">
        <v>241778</v>
      </c>
      <c r="J245" s="935">
        <v>85367</v>
      </c>
      <c r="K245" s="935">
        <v>156411</v>
      </c>
      <c r="L245" s="935">
        <v>240826</v>
      </c>
      <c r="M245" s="935">
        <v>96754</v>
      </c>
      <c r="N245" s="935">
        <v>144072</v>
      </c>
      <c r="O245" s="935">
        <v>243500</v>
      </c>
      <c r="P245" s="935">
        <v>107232</v>
      </c>
      <c r="Q245" s="935">
        <v>136268</v>
      </c>
      <c r="R245" s="935">
        <v>244170</v>
      </c>
      <c r="S245" s="935">
        <v>119995</v>
      </c>
      <c r="T245" s="935">
        <v>124175</v>
      </c>
    </row>
    <row r="246" spans="1:20">
      <c r="A246" s="935">
        <v>13</v>
      </c>
      <c r="B246" s="935" t="s">
        <v>63</v>
      </c>
      <c r="C246" s="935">
        <v>216638.29338808599</v>
      </c>
      <c r="D246" s="935">
        <v>46202.811419821301</v>
      </c>
      <c r="E246" s="935">
        <v>170435.48196826401</v>
      </c>
      <c r="F246" s="935">
        <v>215500.491116864</v>
      </c>
      <c r="G246" s="935">
        <v>45100.907584841698</v>
      </c>
      <c r="H246" s="935">
        <v>170399.583532021</v>
      </c>
      <c r="I246" s="935">
        <v>180819</v>
      </c>
      <c r="J246" s="935">
        <v>41938</v>
      </c>
      <c r="K246" s="935">
        <v>138881</v>
      </c>
      <c r="L246" s="935">
        <v>169155</v>
      </c>
      <c r="M246" s="935">
        <v>43909</v>
      </c>
      <c r="N246" s="935">
        <v>125246</v>
      </c>
      <c r="O246" s="935">
        <v>164176</v>
      </c>
      <c r="P246" s="935">
        <v>51424</v>
      </c>
      <c r="Q246" s="935">
        <v>112752</v>
      </c>
      <c r="R246" s="935">
        <v>151095</v>
      </c>
      <c r="S246" s="935">
        <v>53820</v>
      </c>
      <c r="T246" s="935">
        <v>97275</v>
      </c>
    </row>
    <row r="247" spans="1:20">
      <c r="A247" s="935">
        <v>14</v>
      </c>
      <c r="B247" s="935" t="s">
        <v>64</v>
      </c>
      <c r="C247" s="935">
        <v>170848.96287146001</v>
      </c>
      <c r="D247" s="935">
        <v>52395.281307570804</v>
      </c>
      <c r="E247" s="935">
        <v>118453.68156389</v>
      </c>
      <c r="F247" s="935">
        <v>174897.898257978</v>
      </c>
      <c r="G247" s="935">
        <v>54833.697051183801</v>
      </c>
      <c r="H247" s="935">
        <v>120064.20120679399</v>
      </c>
      <c r="I247" s="935">
        <v>154469</v>
      </c>
      <c r="J247" s="935">
        <v>55349</v>
      </c>
      <c r="K247" s="935">
        <v>99120</v>
      </c>
      <c r="L247" s="935">
        <v>147491</v>
      </c>
      <c r="M247" s="935">
        <v>57346</v>
      </c>
      <c r="N247" s="935">
        <v>90145</v>
      </c>
      <c r="O247" s="935">
        <v>153992</v>
      </c>
      <c r="P247" s="935">
        <v>72376</v>
      </c>
      <c r="Q247" s="935">
        <v>81616</v>
      </c>
      <c r="R247" s="935">
        <v>158555</v>
      </c>
      <c r="S247" s="935">
        <v>84980</v>
      </c>
      <c r="T247" s="935">
        <v>73575</v>
      </c>
    </row>
    <row r="248" spans="1:20">
      <c r="A248" s="935">
        <v>15</v>
      </c>
      <c r="B248" s="935" t="s">
        <v>49</v>
      </c>
      <c r="C248" s="935">
        <v>247405.01861939399</v>
      </c>
      <c r="D248" s="935">
        <v>72734.017452435495</v>
      </c>
      <c r="E248" s="935">
        <v>174671.00116695801</v>
      </c>
      <c r="F248" s="935">
        <v>228716.04129495399</v>
      </c>
      <c r="G248" s="935">
        <v>66201.602716844805</v>
      </c>
      <c r="H248" s="935">
        <v>162514.438578131</v>
      </c>
      <c r="I248" s="935">
        <v>175380</v>
      </c>
      <c r="J248" s="935">
        <v>49167</v>
      </c>
      <c r="K248" s="935">
        <v>126213</v>
      </c>
      <c r="L248" s="935">
        <v>150066</v>
      </c>
      <c r="M248" s="935">
        <v>43189</v>
      </c>
      <c r="N248" s="935">
        <v>106877</v>
      </c>
      <c r="O248" s="935">
        <v>119660</v>
      </c>
      <c r="P248" s="935">
        <v>32712</v>
      </c>
      <c r="Q248" s="935">
        <v>86948</v>
      </c>
      <c r="R248" s="935">
        <v>101985</v>
      </c>
      <c r="S248" s="935">
        <v>27960</v>
      </c>
      <c r="T248" s="935">
        <v>74025</v>
      </c>
    </row>
    <row r="249" spans="1:20">
      <c r="A249" s="935">
        <v>16</v>
      </c>
      <c r="B249" s="935" t="s">
        <v>65</v>
      </c>
      <c r="C249" s="935">
        <v>197972.08842427999</v>
      </c>
      <c r="D249" s="935">
        <v>65562.100654365306</v>
      </c>
      <c r="E249" s="935">
        <v>132409.98776991499</v>
      </c>
      <c r="F249" s="935">
        <v>196759.386493781</v>
      </c>
      <c r="G249" s="935">
        <v>65447.0366899863</v>
      </c>
      <c r="H249" s="935">
        <v>131312.34980379499</v>
      </c>
      <c r="I249" s="935">
        <v>170008</v>
      </c>
      <c r="J249" s="935">
        <v>62232</v>
      </c>
      <c r="K249" s="935">
        <v>107776</v>
      </c>
      <c r="L249" s="935">
        <v>159777</v>
      </c>
      <c r="M249" s="935">
        <v>64035</v>
      </c>
      <c r="N249" s="935">
        <v>95742</v>
      </c>
      <c r="O249" s="935">
        <v>143500</v>
      </c>
      <c r="P249" s="935">
        <v>60052</v>
      </c>
      <c r="Q249" s="935">
        <v>83448</v>
      </c>
      <c r="R249" s="935">
        <v>133210</v>
      </c>
      <c r="S249" s="935">
        <v>59745</v>
      </c>
      <c r="T249" s="935">
        <v>73465</v>
      </c>
    </row>
    <row r="250" spans="1:20">
      <c r="A250" s="935">
        <v>6</v>
      </c>
      <c r="B250" s="935" t="s">
        <v>234</v>
      </c>
      <c r="C250" s="935">
        <v>410592.42114302202</v>
      </c>
      <c r="D250" s="935">
        <v>110323.817842997</v>
      </c>
      <c r="E250" s="935">
        <v>300268.60330001498</v>
      </c>
      <c r="F250" s="935">
        <v>416326.16557333199</v>
      </c>
      <c r="G250" s="935">
        <v>110451.56923412099</v>
      </c>
      <c r="H250" s="935">
        <v>305874.59633919602</v>
      </c>
      <c r="I250" s="935">
        <v>352855</v>
      </c>
      <c r="J250" s="935">
        <v>94388</v>
      </c>
      <c r="K250" s="935">
        <v>258467</v>
      </c>
      <c r="L250" s="935">
        <v>347793</v>
      </c>
      <c r="M250" s="935">
        <v>96600</v>
      </c>
      <c r="N250" s="935">
        <v>251193</v>
      </c>
      <c r="O250" s="935">
        <v>306684</v>
      </c>
      <c r="P250" s="935">
        <v>84148</v>
      </c>
      <c r="Q250" s="935">
        <v>222536</v>
      </c>
      <c r="R250" s="935">
        <v>285505</v>
      </c>
      <c r="S250" s="935">
        <v>84180</v>
      </c>
      <c r="T250" s="935">
        <v>201325</v>
      </c>
    </row>
    <row r="251" spans="1:20">
      <c r="A251" s="935">
        <v>13</v>
      </c>
      <c r="B251" s="935" t="s">
        <v>235</v>
      </c>
      <c r="C251" s="935">
        <v>791955.48643672396</v>
      </c>
      <c r="D251" s="935">
        <v>252301.67630333899</v>
      </c>
      <c r="E251" s="935">
        <v>539653.81013336696</v>
      </c>
      <c r="F251" s="935">
        <v>780941.00220251502</v>
      </c>
      <c r="G251" s="935">
        <v>245887.76969878501</v>
      </c>
      <c r="H251" s="935">
        <v>535053.23250372801</v>
      </c>
      <c r="I251" s="935">
        <v>655800</v>
      </c>
      <c r="J251" s="935">
        <v>209313</v>
      </c>
      <c r="K251" s="935">
        <v>446487</v>
      </c>
      <c r="L251" s="935">
        <v>630575</v>
      </c>
      <c r="M251" s="935">
        <v>216529</v>
      </c>
      <c r="N251" s="935">
        <v>414046</v>
      </c>
      <c r="O251" s="935">
        <v>608448</v>
      </c>
      <c r="P251" s="935">
        <v>225872</v>
      </c>
      <c r="Q251" s="935">
        <v>382576</v>
      </c>
      <c r="R251" s="935">
        <v>598010</v>
      </c>
      <c r="S251" s="935">
        <v>240045</v>
      </c>
      <c r="T251" s="935">
        <v>357965</v>
      </c>
    </row>
    <row r="252" spans="1:20">
      <c r="A252" s="935">
        <v>31</v>
      </c>
      <c r="B252" s="935" t="s">
        <v>236</v>
      </c>
      <c r="C252" s="935">
        <v>604566.57740469603</v>
      </c>
      <c r="D252" s="935">
        <v>228822.48149795999</v>
      </c>
      <c r="E252" s="935">
        <v>375744.09590675501</v>
      </c>
      <c r="F252" s="935">
        <v>570509.25936989102</v>
      </c>
      <c r="G252" s="935">
        <v>214063.05603383301</v>
      </c>
      <c r="H252" s="935">
        <v>356446.20333606802</v>
      </c>
      <c r="I252" s="935">
        <v>430828</v>
      </c>
      <c r="J252" s="935">
        <v>156655</v>
      </c>
      <c r="K252" s="935">
        <v>274173</v>
      </c>
      <c r="L252" s="935">
        <v>381825</v>
      </c>
      <c r="M252" s="935">
        <v>142219</v>
      </c>
      <c r="N252" s="935">
        <v>239606</v>
      </c>
      <c r="O252" s="935">
        <v>323732</v>
      </c>
      <c r="P252" s="935">
        <v>121236</v>
      </c>
      <c r="Q252" s="935">
        <v>202496</v>
      </c>
      <c r="R252" s="935">
        <v>296465</v>
      </c>
      <c r="S252" s="935">
        <v>116860</v>
      </c>
      <c r="T252" s="935">
        <v>179605</v>
      </c>
    </row>
    <row r="253" spans="1:20">
      <c r="A253" s="935">
        <v>33</v>
      </c>
      <c r="B253" s="935" t="s">
        <v>114</v>
      </c>
      <c r="C253" s="935">
        <v>639999.20695781999</v>
      </c>
      <c r="D253" s="935">
        <v>209517.465903512</v>
      </c>
      <c r="E253" s="935">
        <v>430481.74105430598</v>
      </c>
      <c r="F253" s="935">
        <v>611377.48179969599</v>
      </c>
      <c r="G253" s="935">
        <v>206536.68004711199</v>
      </c>
      <c r="H253" s="935">
        <v>404840.80175258301</v>
      </c>
      <c r="I253" s="935">
        <v>505607</v>
      </c>
      <c r="J253" s="935">
        <v>182104</v>
      </c>
      <c r="K253" s="935">
        <v>323503</v>
      </c>
      <c r="L253" s="935">
        <v>472521</v>
      </c>
      <c r="M253" s="935">
        <v>177762</v>
      </c>
      <c r="N253" s="935">
        <v>294759</v>
      </c>
      <c r="O253" s="935">
        <v>440296</v>
      </c>
      <c r="P253" s="935">
        <v>175728</v>
      </c>
      <c r="Q253" s="935">
        <v>264568</v>
      </c>
      <c r="R253" s="935">
        <v>417850</v>
      </c>
      <c r="S253" s="935">
        <v>181110</v>
      </c>
      <c r="T253" s="935">
        <v>236740</v>
      </c>
    </row>
    <row r="254" spans="1:20">
      <c r="A254" s="935">
        <v>34</v>
      </c>
      <c r="B254" s="935" t="s">
        <v>237</v>
      </c>
      <c r="C254" s="935">
        <v>410743.82013435801</v>
      </c>
      <c r="D254" s="935">
        <v>113984.77326211</v>
      </c>
      <c r="E254" s="935">
        <v>296759.046872248</v>
      </c>
      <c r="F254" s="935">
        <v>384289.57815416099</v>
      </c>
      <c r="G254" s="935">
        <v>106100.06854155401</v>
      </c>
      <c r="H254" s="935">
        <v>278189.50961262902</v>
      </c>
      <c r="I254" s="935">
        <v>299938</v>
      </c>
      <c r="J254" s="935">
        <v>85825</v>
      </c>
      <c r="K254" s="935">
        <v>214113</v>
      </c>
      <c r="L254" s="935">
        <v>267887</v>
      </c>
      <c r="M254" s="935">
        <v>82137</v>
      </c>
      <c r="N254" s="935">
        <v>185750</v>
      </c>
      <c r="O254" s="935">
        <v>232916</v>
      </c>
      <c r="P254" s="935">
        <v>76616</v>
      </c>
      <c r="Q254" s="935">
        <v>156300</v>
      </c>
      <c r="R254" s="935">
        <v>211480</v>
      </c>
      <c r="S254" s="935">
        <v>75465</v>
      </c>
      <c r="T254" s="935">
        <v>136015</v>
      </c>
    </row>
    <row r="255" spans="1:20">
      <c r="A255" s="935">
        <v>35</v>
      </c>
      <c r="B255" s="935" t="s">
        <v>238</v>
      </c>
      <c r="C255" s="935">
        <v>447164.95836011798</v>
      </c>
      <c r="D255" s="935">
        <v>164063.096322561</v>
      </c>
      <c r="E255" s="935">
        <v>283101.862037552</v>
      </c>
      <c r="F255" s="935">
        <v>436025.222517933</v>
      </c>
      <c r="G255" s="935">
        <v>163534.590691752</v>
      </c>
      <c r="H255" s="935">
        <v>272490.63182616897</v>
      </c>
      <c r="I255" s="935">
        <v>360019</v>
      </c>
      <c r="J255" s="935">
        <v>142332</v>
      </c>
      <c r="K255" s="935">
        <v>217687</v>
      </c>
      <c r="L255" s="935">
        <v>325696</v>
      </c>
      <c r="M255" s="935">
        <v>137742</v>
      </c>
      <c r="N255" s="935">
        <v>187954</v>
      </c>
      <c r="O255" s="935">
        <v>306752</v>
      </c>
      <c r="P255" s="935">
        <v>139832</v>
      </c>
      <c r="Q255" s="935">
        <v>166920</v>
      </c>
      <c r="R255" s="935">
        <v>288165</v>
      </c>
      <c r="S255" s="935">
        <v>141740</v>
      </c>
      <c r="T255" s="935">
        <v>146425</v>
      </c>
    </row>
    <row r="256" spans="1:20">
      <c r="A256" s="935">
        <v>38</v>
      </c>
      <c r="B256" s="935" t="s">
        <v>239</v>
      </c>
      <c r="C256" s="935">
        <v>487344.603629713</v>
      </c>
      <c r="D256" s="935">
        <v>180946.710658661</v>
      </c>
      <c r="E256" s="935">
        <v>306397.89297105599</v>
      </c>
      <c r="F256" s="935">
        <v>484098.23436136497</v>
      </c>
      <c r="G256" s="935">
        <v>185804.56544664799</v>
      </c>
      <c r="H256" s="935">
        <v>298293.66891471401</v>
      </c>
      <c r="I256" s="935">
        <v>421136</v>
      </c>
      <c r="J256" s="935">
        <v>180505</v>
      </c>
      <c r="K256" s="935">
        <v>240631</v>
      </c>
      <c r="L256" s="935">
        <v>392441</v>
      </c>
      <c r="M256" s="935">
        <v>174825</v>
      </c>
      <c r="N256" s="935">
        <v>217616</v>
      </c>
      <c r="O256" s="935">
        <v>362928</v>
      </c>
      <c r="P256" s="935">
        <v>173328</v>
      </c>
      <c r="Q256" s="935">
        <v>189600</v>
      </c>
      <c r="R256" s="935">
        <v>338040</v>
      </c>
      <c r="S256" s="935">
        <v>178390</v>
      </c>
      <c r="T256" s="935">
        <v>159650</v>
      </c>
    </row>
    <row r="257" spans="1:20">
      <c r="A257" s="935">
        <v>44</v>
      </c>
      <c r="B257" s="935" t="s">
        <v>240</v>
      </c>
      <c r="C257" s="935">
        <v>578323.28839329095</v>
      </c>
      <c r="D257" s="935">
        <v>216618.71044046499</v>
      </c>
      <c r="E257" s="935">
        <v>361704.57795284298</v>
      </c>
      <c r="F257" s="935">
        <v>551486.92298975599</v>
      </c>
      <c r="G257" s="935">
        <v>206576.85975561599</v>
      </c>
      <c r="H257" s="935">
        <v>344910.06323416001</v>
      </c>
      <c r="I257" s="935">
        <v>447331</v>
      </c>
      <c r="J257" s="935">
        <v>175138</v>
      </c>
      <c r="K257" s="935">
        <v>272193</v>
      </c>
      <c r="L257" s="935">
        <v>396944</v>
      </c>
      <c r="M257" s="935">
        <v>161777</v>
      </c>
      <c r="N257" s="935">
        <v>235167</v>
      </c>
      <c r="O257" s="935">
        <v>380824</v>
      </c>
      <c r="P257" s="935">
        <v>170004</v>
      </c>
      <c r="Q257" s="935">
        <v>210820</v>
      </c>
      <c r="R257" s="935">
        <v>355430</v>
      </c>
      <c r="S257" s="935">
        <v>177225</v>
      </c>
      <c r="T257" s="935">
        <v>178205</v>
      </c>
    </row>
    <row r="258" spans="1:20">
      <c r="A258" s="935">
        <v>59</v>
      </c>
      <c r="B258" s="935" t="s">
        <v>241</v>
      </c>
      <c r="C258" s="935">
        <v>982091.59143134404</v>
      </c>
      <c r="D258" s="935">
        <v>332134.21765165299</v>
      </c>
      <c r="E258" s="935">
        <v>649957.37377970002</v>
      </c>
      <c r="F258" s="935">
        <v>985881.44782394101</v>
      </c>
      <c r="G258" s="935">
        <v>346383.53865706298</v>
      </c>
      <c r="H258" s="935">
        <v>639497.90916687995</v>
      </c>
      <c r="I258" s="935">
        <v>893230</v>
      </c>
      <c r="J258" s="935">
        <v>351996</v>
      </c>
      <c r="K258" s="935">
        <v>541234</v>
      </c>
      <c r="L258" s="935">
        <v>862054</v>
      </c>
      <c r="M258" s="935">
        <v>364900</v>
      </c>
      <c r="N258" s="935">
        <v>497154</v>
      </c>
      <c r="O258" s="935">
        <v>914192</v>
      </c>
      <c r="P258" s="935">
        <v>448736</v>
      </c>
      <c r="Q258" s="935">
        <v>465456</v>
      </c>
      <c r="R258" s="935">
        <v>935995</v>
      </c>
      <c r="S258" s="935">
        <v>510545</v>
      </c>
      <c r="T258" s="935">
        <v>425450</v>
      </c>
    </row>
    <row r="259" spans="1:20">
      <c r="A259" s="935">
        <v>62</v>
      </c>
      <c r="B259" s="935" t="s">
        <v>247</v>
      </c>
      <c r="C259" s="935">
        <v>482038.25761642901</v>
      </c>
      <c r="D259" s="935">
        <v>156006.50681528301</v>
      </c>
      <c r="E259" s="935">
        <v>326031.75080114597</v>
      </c>
      <c r="F259" s="935">
        <v>495544.97055921901</v>
      </c>
      <c r="G259" s="935">
        <v>164898.99280610899</v>
      </c>
      <c r="H259" s="935">
        <v>330645.97775311</v>
      </c>
      <c r="I259" s="935">
        <v>451083</v>
      </c>
      <c r="J259" s="935">
        <v>172314</v>
      </c>
      <c r="K259" s="935">
        <v>278769</v>
      </c>
      <c r="L259" s="935">
        <v>426387</v>
      </c>
      <c r="M259" s="935">
        <v>175105</v>
      </c>
      <c r="N259" s="935">
        <v>251282</v>
      </c>
      <c r="O259" s="935">
        <v>422632</v>
      </c>
      <c r="P259" s="935">
        <v>198940</v>
      </c>
      <c r="Q259" s="935">
        <v>223692</v>
      </c>
      <c r="R259" s="935">
        <v>427505</v>
      </c>
      <c r="S259" s="935">
        <v>225110</v>
      </c>
      <c r="T259" s="935">
        <v>202395</v>
      </c>
    </row>
    <row r="260" spans="1:20">
      <c r="A260" s="935">
        <v>67</v>
      </c>
      <c r="B260" s="935" t="s">
        <v>242</v>
      </c>
      <c r="C260" s="935">
        <v>464016.85177938</v>
      </c>
      <c r="D260" s="935">
        <v>173615.005109272</v>
      </c>
      <c r="E260" s="935">
        <v>290401.84667011403</v>
      </c>
      <c r="F260" s="935">
        <v>465309.91928749398</v>
      </c>
      <c r="G260" s="935">
        <v>177330.934433833</v>
      </c>
      <c r="H260" s="935">
        <v>287978.98485367198</v>
      </c>
      <c r="I260" s="935">
        <v>417083</v>
      </c>
      <c r="J260" s="935">
        <v>174279</v>
      </c>
      <c r="K260" s="935">
        <v>242804</v>
      </c>
      <c r="L260" s="935">
        <v>382281</v>
      </c>
      <c r="M260" s="935">
        <v>164617</v>
      </c>
      <c r="N260" s="935">
        <v>217664</v>
      </c>
      <c r="O260" s="935">
        <v>360952</v>
      </c>
      <c r="P260" s="935">
        <v>162124</v>
      </c>
      <c r="Q260" s="935">
        <v>198828</v>
      </c>
      <c r="R260" s="935">
        <v>331000</v>
      </c>
      <c r="S260" s="935">
        <v>155905</v>
      </c>
      <c r="T260" s="935">
        <v>175095</v>
      </c>
    </row>
    <row r="261" spans="1:20">
      <c r="A261" s="935">
        <v>69</v>
      </c>
      <c r="B261" s="935" t="s">
        <v>243</v>
      </c>
      <c r="C261" s="935">
        <v>853438.60849243903</v>
      </c>
      <c r="D261" s="935">
        <v>335402.72993076901</v>
      </c>
      <c r="E261" s="935">
        <v>518035.878561655</v>
      </c>
      <c r="F261" s="935">
        <v>820671.08342455199</v>
      </c>
      <c r="G261" s="935">
        <v>324086.61128256301</v>
      </c>
      <c r="H261" s="935">
        <v>496584.47214197501</v>
      </c>
      <c r="I261" s="935">
        <v>702062</v>
      </c>
      <c r="J261" s="935">
        <v>290871</v>
      </c>
      <c r="K261" s="935">
        <v>411191</v>
      </c>
      <c r="L261" s="935">
        <v>688096</v>
      </c>
      <c r="M261" s="935">
        <v>299559</v>
      </c>
      <c r="N261" s="935">
        <v>388537</v>
      </c>
      <c r="O261" s="935">
        <v>643600</v>
      </c>
      <c r="P261" s="935">
        <v>289608</v>
      </c>
      <c r="Q261" s="935">
        <v>353992</v>
      </c>
      <c r="R261" s="935">
        <v>638055</v>
      </c>
      <c r="S261" s="935">
        <v>316735</v>
      </c>
      <c r="T261" s="935">
        <v>321320</v>
      </c>
    </row>
    <row r="262" spans="1:20">
      <c r="A262" s="935">
        <v>76</v>
      </c>
      <c r="B262" s="935" t="s">
        <v>244</v>
      </c>
      <c r="C262" s="935">
        <v>502930.36959459202</v>
      </c>
      <c r="D262" s="935">
        <v>175327.960232021</v>
      </c>
      <c r="E262" s="935">
        <v>327602.409362573</v>
      </c>
      <c r="F262" s="935">
        <v>512822.84409587499</v>
      </c>
      <c r="G262" s="935">
        <v>183049.349668968</v>
      </c>
      <c r="H262" s="935">
        <v>329773.49442690099</v>
      </c>
      <c r="I262" s="935">
        <v>473096</v>
      </c>
      <c r="J262" s="935">
        <v>188706</v>
      </c>
      <c r="K262" s="935">
        <v>284390</v>
      </c>
      <c r="L262" s="935">
        <v>468979</v>
      </c>
      <c r="M262" s="935">
        <v>205459</v>
      </c>
      <c r="N262" s="935">
        <v>263520</v>
      </c>
      <c r="O262" s="935">
        <v>476412</v>
      </c>
      <c r="P262" s="935">
        <v>227344</v>
      </c>
      <c r="Q262" s="935">
        <v>249068</v>
      </c>
      <c r="R262" s="935">
        <v>478285</v>
      </c>
      <c r="S262" s="935">
        <v>248490</v>
      </c>
      <c r="T262" s="935">
        <v>229795</v>
      </c>
    </row>
    <row r="263" spans="1:20">
      <c r="A263" s="935">
        <v>83</v>
      </c>
      <c r="B263" s="935" t="s">
        <v>245</v>
      </c>
      <c r="C263" s="935">
        <v>355025.93137509102</v>
      </c>
      <c r="D263" s="935">
        <v>76553.835939762401</v>
      </c>
      <c r="E263" s="935">
        <v>278472.09543532802</v>
      </c>
      <c r="F263" s="935">
        <v>347833.04329993803</v>
      </c>
      <c r="G263" s="935">
        <v>75251.681917969094</v>
      </c>
      <c r="H263" s="935">
        <v>272581.36138196901</v>
      </c>
      <c r="I263" s="935">
        <v>283530</v>
      </c>
      <c r="J263" s="935">
        <v>66207</v>
      </c>
      <c r="K263" s="935">
        <v>217323</v>
      </c>
      <c r="L263" s="935">
        <v>264833</v>
      </c>
      <c r="M263" s="935">
        <v>67778</v>
      </c>
      <c r="N263" s="935">
        <v>197055</v>
      </c>
      <c r="O263" s="935">
        <v>240016</v>
      </c>
      <c r="P263" s="935">
        <v>70392</v>
      </c>
      <c r="Q263" s="935">
        <v>169624</v>
      </c>
      <c r="R263" s="935">
        <v>212985</v>
      </c>
      <c r="S263" s="935">
        <v>69550</v>
      </c>
      <c r="T263" s="935">
        <v>143435</v>
      </c>
    </row>
    <row r="264" spans="1:20">
      <c r="A264" s="935">
        <v>84</v>
      </c>
      <c r="B264" s="935" t="s">
        <v>246</v>
      </c>
      <c r="C264" s="935">
        <v>214525.310337645</v>
      </c>
      <c r="D264" s="935">
        <v>68863.313699984195</v>
      </c>
      <c r="E264" s="935">
        <v>145661.99663766101</v>
      </c>
      <c r="F264" s="935">
        <v>214081.33826517299</v>
      </c>
      <c r="G264" s="935">
        <v>68722.918580023193</v>
      </c>
      <c r="H264" s="935">
        <v>145358.41968515099</v>
      </c>
      <c r="I264" s="935">
        <v>185215</v>
      </c>
      <c r="J264" s="935">
        <v>65834</v>
      </c>
      <c r="K264" s="935">
        <v>119381</v>
      </c>
      <c r="L264" s="935">
        <v>174975</v>
      </c>
      <c r="M264" s="935">
        <v>68289</v>
      </c>
      <c r="N264" s="935">
        <v>106686</v>
      </c>
      <c r="O264" s="935">
        <v>158396</v>
      </c>
      <c r="P264" s="935">
        <v>64564</v>
      </c>
      <c r="Q264" s="935">
        <v>93832</v>
      </c>
      <c r="R264" s="935">
        <v>145450</v>
      </c>
      <c r="S264" s="935">
        <v>64060</v>
      </c>
      <c r="T264" s="935">
        <v>81390</v>
      </c>
    </row>
    <row r="265" spans="1:20">
      <c r="A265" s="935">
        <v>243300316</v>
      </c>
      <c r="B265" s="935" t="s">
        <v>70</v>
      </c>
      <c r="C265" s="935">
        <v>397477.56898492802</v>
      </c>
      <c r="D265" s="935">
        <v>121102.60299254701</v>
      </c>
      <c r="E265" s="935">
        <v>276374.96599237801</v>
      </c>
      <c r="F265" s="935">
        <v>381246.33744495799</v>
      </c>
      <c r="G265" s="935">
        <v>118498.076024287</v>
      </c>
      <c r="H265" s="935">
        <v>262748.26142067002</v>
      </c>
      <c r="I265" s="935">
        <v>315477</v>
      </c>
      <c r="J265" s="935">
        <v>102352</v>
      </c>
      <c r="K265" s="935">
        <v>213125</v>
      </c>
      <c r="L265" s="935">
        <v>301729</v>
      </c>
      <c r="M265" s="935">
        <v>102178</v>
      </c>
      <c r="N265" s="935">
        <v>199551</v>
      </c>
      <c r="O265" s="935">
        <v>281248</v>
      </c>
      <c r="P265" s="935">
        <v>101756</v>
      </c>
      <c r="Q265" s="935">
        <v>179492</v>
      </c>
      <c r="R265" s="935">
        <v>268140</v>
      </c>
      <c r="S265" s="935">
        <v>105865</v>
      </c>
      <c r="T265" s="935">
        <v>162275</v>
      </c>
    </row>
    <row r="266" spans="1:20">
      <c r="A266" s="935">
        <v>59</v>
      </c>
      <c r="B266" s="935" t="s">
        <v>89</v>
      </c>
      <c r="C266" s="935">
        <v>187518.590257198</v>
      </c>
      <c r="D266" s="935">
        <v>63154.145417043001</v>
      </c>
      <c r="E266" s="935">
        <v>124364.444840155</v>
      </c>
      <c r="F266" s="935">
        <v>186977.81295900501</v>
      </c>
      <c r="G266" s="935">
        <v>64003.276252338001</v>
      </c>
      <c r="H266" s="935">
        <v>122974.536706667</v>
      </c>
      <c r="I266" s="935">
        <v>158851</v>
      </c>
      <c r="J266" s="935">
        <v>60808</v>
      </c>
      <c r="K266" s="935">
        <v>98043</v>
      </c>
      <c r="L266" s="935">
        <v>148474</v>
      </c>
      <c r="M266" s="935">
        <v>61582</v>
      </c>
      <c r="N266" s="935">
        <v>86892</v>
      </c>
      <c r="O266" s="935">
        <v>134156</v>
      </c>
      <c r="P266" s="935">
        <v>57852</v>
      </c>
      <c r="Q266" s="935">
        <v>76304</v>
      </c>
      <c r="R266" s="935">
        <v>124495</v>
      </c>
      <c r="S266" s="935">
        <v>57655</v>
      </c>
      <c r="T266" s="935">
        <v>66840</v>
      </c>
    </row>
    <row r="267" spans="1:20">
      <c r="A267" s="935">
        <v>61</v>
      </c>
      <c r="B267" s="935" t="s">
        <v>27</v>
      </c>
      <c r="C267" s="935">
        <v>636560.98945028498</v>
      </c>
      <c r="D267" s="935">
        <v>242073.78417291201</v>
      </c>
      <c r="E267" s="935">
        <v>394487.20527739101</v>
      </c>
      <c r="F267" s="935">
        <v>601627.49473549996</v>
      </c>
      <c r="G267" s="935">
        <v>227750.32141475799</v>
      </c>
      <c r="H267" s="935">
        <v>373877.173320751</v>
      </c>
      <c r="I267" s="935">
        <v>455288</v>
      </c>
      <c r="J267" s="935">
        <v>169505</v>
      </c>
      <c r="K267" s="935">
        <v>285783</v>
      </c>
      <c r="L267" s="935">
        <v>407501</v>
      </c>
      <c r="M267" s="935">
        <v>159347</v>
      </c>
      <c r="N267" s="935">
        <v>248154</v>
      </c>
      <c r="O267" s="935">
        <v>349572</v>
      </c>
      <c r="P267" s="935">
        <v>139932</v>
      </c>
      <c r="Q267" s="935">
        <v>209640</v>
      </c>
      <c r="R267" s="935">
        <v>320600</v>
      </c>
      <c r="S267" s="935">
        <v>135350</v>
      </c>
      <c r="T267" s="935">
        <v>185250</v>
      </c>
    </row>
    <row r="268" spans="1:20">
      <c r="A268" s="935">
        <v>2307</v>
      </c>
      <c r="B268" s="935" t="s">
        <v>23</v>
      </c>
      <c r="C268" s="935">
        <v>327277.83418860298</v>
      </c>
      <c r="D268" s="935">
        <v>109269.537666563</v>
      </c>
      <c r="E268" s="935">
        <v>218008.29652204399</v>
      </c>
      <c r="F268" s="935">
        <v>328992.62300848</v>
      </c>
      <c r="G268" s="935">
        <v>112670.367907847</v>
      </c>
      <c r="H268" s="935">
        <v>216322.25510063299</v>
      </c>
      <c r="I268" s="935">
        <v>298212</v>
      </c>
      <c r="J268" s="935">
        <v>112120</v>
      </c>
      <c r="K268" s="935">
        <v>186092</v>
      </c>
      <c r="L268" s="935">
        <v>294094</v>
      </c>
      <c r="M268" s="935">
        <v>124109</v>
      </c>
      <c r="N268" s="935">
        <v>169985</v>
      </c>
      <c r="O268" s="935">
        <v>295080</v>
      </c>
      <c r="P268" s="935">
        <v>135980</v>
      </c>
      <c r="Q268" s="935">
        <v>159100</v>
      </c>
      <c r="R268" s="935">
        <v>293325</v>
      </c>
      <c r="S268" s="935">
        <v>149060</v>
      </c>
      <c r="T268" s="935">
        <v>144265</v>
      </c>
    </row>
    <row r="269" spans="1:20">
      <c r="A269" s="935">
        <v>3111</v>
      </c>
      <c r="B269" s="935" t="s">
        <v>10</v>
      </c>
      <c r="C269" s="935">
        <v>390344.31067546603</v>
      </c>
      <c r="D269" s="935">
        <v>122632.462625972</v>
      </c>
      <c r="E269" s="935">
        <v>267711.848049502</v>
      </c>
      <c r="F269" s="935">
        <v>374595.29819456401</v>
      </c>
      <c r="G269" s="935">
        <v>120507.82294915</v>
      </c>
      <c r="H269" s="935">
        <v>254087.475245415</v>
      </c>
      <c r="I269" s="935">
        <v>327423</v>
      </c>
      <c r="J269" s="935">
        <v>115145</v>
      </c>
      <c r="K269" s="935">
        <v>212278</v>
      </c>
      <c r="L269" s="935">
        <v>312159</v>
      </c>
      <c r="M269" s="935">
        <v>115310</v>
      </c>
      <c r="N269" s="935">
        <v>196849</v>
      </c>
      <c r="O269" s="935">
        <v>309896</v>
      </c>
      <c r="P269" s="935">
        <v>126376</v>
      </c>
      <c r="Q269" s="935">
        <v>183520</v>
      </c>
      <c r="R269" s="935">
        <v>299160</v>
      </c>
      <c r="S269" s="935">
        <v>138450</v>
      </c>
      <c r="T269" s="935">
        <v>160710</v>
      </c>
    </row>
    <row r="270" spans="1:20">
      <c r="A270" s="935">
        <v>3122</v>
      </c>
      <c r="B270" s="935" t="s">
        <v>1297</v>
      </c>
      <c r="C270" s="935">
        <v>110398.14022458201</v>
      </c>
      <c r="D270" s="935">
        <v>32550.461148263199</v>
      </c>
      <c r="E270" s="935">
        <v>77847.679076319197</v>
      </c>
      <c r="F270" s="935">
        <v>112185.753157514</v>
      </c>
      <c r="G270" s="935">
        <v>33832.807073587501</v>
      </c>
      <c r="H270" s="935">
        <v>78352.946083926494</v>
      </c>
      <c r="I270" s="935">
        <v>96373</v>
      </c>
      <c r="J270" s="935">
        <v>31905</v>
      </c>
      <c r="K270" s="935">
        <v>64468</v>
      </c>
      <c r="L270" s="935">
        <v>90264</v>
      </c>
      <c r="M270" s="935">
        <v>31420</v>
      </c>
      <c r="N270" s="935">
        <v>58844</v>
      </c>
      <c r="O270" s="935">
        <v>95200</v>
      </c>
      <c r="P270" s="935">
        <v>41440</v>
      </c>
      <c r="Q270" s="935">
        <v>53760</v>
      </c>
      <c r="R270" s="935">
        <v>101370</v>
      </c>
      <c r="S270" s="935">
        <v>53250</v>
      </c>
      <c r="T270" s="935">
        <v>48120</v>
      </c>
    </row>
    <row r="271" spans="1:20">
      <c r="A271" s="935">
        <v>4205</v>
      </c>
      <c r="B271" s="935" t="s">
        <v>25</v>
      </c>
      <c r="C271" s="935">
        <v>277590.08127096202</v>
      </c>
      <c r="D271" s="935">
        <v>92063.528088018997</v>
      </c>
      <c r="E271" s="935">
        <v>185526.55318294899</v>
      </c>
      <c r="F271" s="935">
        <v>277898.68429316703</v>
      </c>
      <c r="G271" s="935">
        <v>93713.7927914873</v>
      </c>
      <c r="H271" s="935">
        <v>184184.89150169099</v>
      </c>
      <c r="I271" s="935">
        <v>250602</v>
      </c>
      <c r="J271" s="935">
        <v>92379</v>
      </c>
      <c r="K271" s="935">
        <v>158223</v>
      </c>
      <c r="L271" s="935">
        <v>232574</v>
      </c>
      <c r="M271" s="935">
        <v>87006</v>
      </c>
      <c r="N271" s="935">
        <v>145568</v>
      </c>
      <c r="O271" s="935">
        <v>217492</v>
      </c>
      <c r="P271" s="935">
        <v>84444</v>
      </c>
      <c r="Q271" s="935">
        <v>133048</v>
      </c>
      <c r="R271" s="935">
        <v>200930</v>
      </c>
      <c r="S271" s="935">
        <v>81175</v>
      </c>
      <c r="T271" s="935">
        <v>119755</v>
      </c>
    </row>
    <row r="272" spans="1:20">
      <c r="A272" s="935">
        <v>5203</v>
      </c>
      <c r="B272" s="935" t="s">
        <v>17</v>
      </c>
      <c r="C272" s="935">
        <v>467845.70052516402</v>
      </c>
      <c r="D272" s="935">
        <v>178047.09909090801</v>
      </c>
      <c r="E272" s="935">
        <v>289798.60143427597</v>
      </c>
      <c r="F272" s="935">
        <v>442157.779288119</v>
      </c>
      <c r="G272" s="935">
        <v>168571.07250256199</v>
      </c>
      <c r="H272" s="935">
        <v>273586.706785577</v>
      </c>
      <c r="I272" s="935">
        <v>356586</v>
      </c>
      <c r="J272" s="935">
        <v>141603</v>
      </c>
      <c r="K272" s="935">
        <v>214983</v>
      </c>
      <c r="L272" s="935">
        <v>314084</v>
      </c>
      <c r="M272" s="935">
        <v>128889</v>
      </c>
      <c r="N272" s="935">
        <v>185195</v>
      </c>
      <c r="O272" s="935">
        <v>296880</v>
      </c>
      <c r="P272" s="935">
        <v>131760</v>
      </c>
      <c r="Q272" s="935">
        <v>165120</v>
      </c>
      <c r="R272" s="935">
        <v>272890</v>
      </c>
      <c r="S272" s="935">
        <v>132900</v>
      </c>
      <c r="T272" s="935">
        <v>139990</v>
      </c>
    </row>
    <row r="273" spans="1:20">
      <c r="A273" s="935">
        <v>5312</v>
      </c>
      <c r="B273" s="935" t="s">
        <v>21</v>
      </c>
      <c r="C273" s="935">
        <v>349239.99054623098</v>
      </c>
      <c r="D273" s="935">
        <v>127311.485089219</v>
      </c>
      <c r="E273" s="935">
        <v>221928.50545700701</v>
      </c>
      <c r="F273" s="935">
        <v>337490.33409135602</v>
      </c>
      <c r="G273" s="935">
        <v>125553.593686551</v>
      </c>
      <c r="H273" s="935">
        <v>211936.74040479201</v>
      </c>
      <c r="I273" s="935">
        <v>271899</v>
      </c>
      <c r="J273" s="935">
        <v>104611</v>
      </c>
      <c r="K273" s="935">
        <v>167288</v>
      </c>
      <c r="L273" s="935">
        <v>245485</v>
      </c>
      <c r="M273" s="935">
        <v>100688</v>
      </c>
      <c r="N273" s="935">
        <v>144797</v>
      </c>
      <c r="O273" s="935">
        <v>227424</v>
      </c>
      <c r="P273" s="935">
        <v>99804</v>
      </c>
      <c r="Q273" s="935">
        <v>127620</v>
      </c>
      <c r="R273" s="935">
        <v>210825</v>
      </c>
      <c r="S273" s="935">
        <v>99780</v>
      </c>
      <c r="T273" s="935">
        <v>111045</v>
      </c>
    </row>
    <row r="274" spans="1:20">
      <c r="A274" s="935">
        <v>7204</v>
      </c>
      <c r="B274" s="935" t="s">
        <v>6</v>
      </c>
      <c r="C274" s="935">
        <v>548083.92018204904</v>
      </c>
      <c r="D274" s="935">
        <v>179863.756635247</v>
      </c>
      <c r="E274" s="935">
        <v>368220.16354679898</v>
      </c>
      <c r="F274" s="935">
        <v>522556.86053949699</v>
      </c>
      <c r="G274" s="935">
        <v>177166.983979021</v>
      </c>
      <c r="H274" s="935">
        <v>345389.87656047498</v>
      </c>
      <c r="I274" s="935">
        <v>429420</v>
      </c>
      <c r="J274" s="935">
        <v>153768</v>
      </c>
      <c r="K274" s="935">
        <v>275652</v>
      </c>
      <c r="L274" s="935">
        <v>401591</v>
      </c>
      <c r="M274" s="935">
        <v>149512</v>
      </c>
      <c r="N274" s="935">
        <v>252079</v>
      </c>
      <c r="O274" s="935">
        <v>372240</v>
      </c>
      <c r="P274" s="935">
        <v>147468</v>
      </c>
      <c r="Q274" s="935">
        <v>224772</v>
      </c>
      <c r="R274" s="935">
        <v>351920</v>
      </c>
      <c r="S274" s="935">
        <v>151965</v>
      </c>
      <c r="T274" s="935">
        <v>199955</v>
      </c>
    </row>
    <row r="275" spans="1:20">
      <c r="A275" s="935">
        <v>8210</v>
      </c>
      <c r="B275" s="935" t="s">
        <v>8</v>
      </c>
      <c r="C275" s="935">
        <v>344766.43405980698</v>
      </c>
      <c r="D275" s="935">
        <v>123329.274365434</v>
      </c>
      <c r="E275" s="935">
        <v>221437.15969437701</v>
      </c>
      <c r="F275" s="935">
        <v>342324.921615039</v>
      </c>
      <c r="G275" s="935">
        <v>126392.747439499</v>
      </c>
      <c r="H275" s="935">
        <v>215932.174175536</v>
      </c>
      <c r="I275" s="935">
        <v>298676</v>
      </c>
      <c r="J275" s="935">
        <v>120507</v>
      </c>
      <c r="K275" s="935">
        <v>178169</v>
      </c>
      <c r="L275" s="935">
        <v>284561</v>
      </c>
      <c r="M275" s="935">
        <v>120325</v>
      </c>
      <c r="N275" s="935">
        <v>164236</v>
      </c>
      <c r="O275" s="935">
        <v>265088</v>
      </c>
      <c r="P275" s="935">
        <v>120308</v>
      </c>
      <c r="Q275" s="935">
        <v>144780</v>
      </c>
      <c r="R275" s="935">
        <v>251445</v>
      </c>
      <c r="S275" s="935">
        <v>124975</v>
      </c>
      <c r="T275" s="935">
        <v>126470</v>
      </c>
    </row>
    <row r="276" spans="1:20">
      <c r="A276" s="935">
        <v>8214</v>
      </c>
      <c r="B276" s="935" t="s">
        <v>12</v>
      </c>
      <c r="C276" s="935">
        <v>845421.54110058805</v>
      </c>
      <c r="D276" s="935">
        <v>334622.05693593598</v>
      </c>
      <c r="E276" s="935">
        <v>510799.484164636</v>
      </c>
      <c r="F276" s="935">
        <v>811949.65914011095</v>
      </c>
      <c r="G276" s="935">
        <v>322481.84961282602</v>
      </c>
      <c r="H276" s="935">
        <v>489467.80952727102</v>
      </c>
      <c r="I276" s="935">
        <v>693314</v>
      </c>
      <c r="J276" s="935">
        <v>288397</v>
      </c>
      <c r="K276" s="935">
        <v>404917</v>
      </c>
      <c r="L276" s="935">
        <v>674478</v>
      </c>
      <c r="M276" s="935">
        <v>294049</v>
      </c>
      <c r="N276" s="935">
        <v>380429</v>
      </c>
      <c r="O276" s="935">
        <v>628400</v>
      </c>
      <c r="P276" s="935">
        <v>282244</v>
      </c>
      <c r="Q276" s="935">
        <v>346156</v>
      </c>
      <c r="R276" s="935">
        <v>626585</v>
      </c>
      <c r="S276" s="935">
        <v>312295</v>
      </c>
      <c r="T276" s="935">
        <v>314290</v>
      </c>
    </row>
    <row r="277" spans="1:20">
      <c r="A277" s="935">
        <v>9111</v>
      </c>
      <c r="B277" s="935" t="s">
        <v>15</v>
      </c>
      <c r="C277" s="935">
        <v>271093.994457505</v>
      </c>
      <c r="D277" s="935">
        <v>78870.436600373097</v>
      </c>
      <c r="E277" s="935">
        <v>192223.557857131</v>
      </c>
      <c r="F277" s="935">
        <v>251530.23488852699</v>
      </c>
      <c r="G277" s="935">
        <v>71926.127798131594</v>
      </c>
      <c r="H277" s="935">
        <v>179604.107090417</v>
      </c>
      <c r="I277" s="935">
        <v>192840</v>
      </c>
      <c r="J277" s="935">
        <v>54107</v>
      </c>
      <c r="K277" s="935">
        <v>138733</v>
      </c>
      <c r="L277" s="935">
        <v>164583</v>
      </c>
      <c r="M277" s="935">
        <v>47862</v>
      </c>
      <c r="N277" s="935">
        <v>116721</v>
      </c>
      <c r="O277" s="935">
        <v>130884</v>
      </c>
      <c r="P277" s="935">
        <v>36336</v>
      </c>
      <c r="Q277" s="935">
        <v>94548</v>
      </c>
      <c r="R277" s="935">
        <v>112095</v>
      </c>
      <c r="S277" s="935">
        <v>31895</v>
      </c>
      <c r="T277" s="935">
        <v>80200</v>
      </c>
    </row>
    <row r="278" spans="1:20">
      <c r="A278" s="935">
        <v>9307</v>
      </c>
      <c r="B278" s="935" t="s">
        <v>19</v>
      </c>
      <c r="C278" s="935">
        <v>232144.57454438799</v>
      </c>
      <c r="D278" s="935">
        <v>57528.273723773302</v>
      </c>
      <c r="E278" s="935">
        <v>174616.300820606</v>
      </c>
      <c r="F278" s="935">
        <v>235531.56092709699</v>
      </c>
      <c r="G278" s="935">
        <v>58423.318902000203</v>
      </c>
      <c r="H278" s="935">
        <v>177108.242025082</v>
      </c>
      <c r="I278" s="935">
        <v>206986</v>
      </c>
      <c r="J278" s="935">
        <v>51827</v>
      </c>
      <c r="K278" s="935">
        <v>155159</v>
      </c>
      <c r="L278" s="935">
        <v>209992</v>
      </c>
      <c r="M278" s="935">
        <v>58147</v>
      </c>
      <c r="N278" s="935">
        <v>151845</v>
      </c>
      <c r="O278" s="935">
        <v>190092</v>
      </c>
      <c r="P278" s="935">
        <v>53320</v>
      </c>
      <c r="Q278" s="935">
        <v>136772</v>
      </c>
      <c r="R278" s="935">
        <v>182040</v>
      </c>
      <c r="S278" s="935">
        <v>54855</v>
      </c>
      <c r="T278" s="935">
        <v>127185</v>
      </c>
    </row>
    <row r="279" spans="1:20">
      <c r="A279" s="935">
        <v>9310</v>
      </c>
      <c r="B279" s="935" t="s">
        <v>54</v>
      </c>
      <c r="C279" s="935">
        <v>504891.08815916401</v>
      </c>
      <c r="D279" s="935">
        <v>147099.76677589701</v>
      </c>
      <c r="E279" s="935">
        <v>357791.32138325099</v>
      </c>
      <c r="F279" s="935">
        <v>500945.60691222898</v>
      </c>
      <c r="G279" s="935">
        <v>144077.827667943</v>
      </c>
      <c r="H279" s="935">
        <v>356867.77924429002</v>
      </c>
      <c r="I279" s="935">
        <v>425164</v>
      </c>
      <c r="J279" s="935">
        <v>123892</v>
      </c>
      <c r="K279" s="935">
        <v>301272</v>
      </c>
      <c r="L279" s="935">
        <v>425759</v>
      </c>
      <c r="M279" s="935">
        <v>136390</v>
      </c>
      <c r="N279" s="935">
        <v>289369</v>
      </c>
      <c r="O279" s="935">
        <v>423628</v>
      </c>
      <c r="P279" s="935">
        <v>148700</v>
      </c>
      <c r="Q279" s="935">
        <v>274928</v>
      </c>
      <c r="R279" s="935">
        <v>429405</v>
      </c>
      <c r="S279" s="935">
        <v>164145</v>
      </c>
      <c r="T279" s="935">
        <v>265260</v>
      </c>
    </row>
    <row r="280" spans="1:20">
      <c r="A280" s="935">
        <v>9315</v>
      </c>
      <c r="B280" s="935" t="s">
        <v>55</v>
      </c>
      <c r="C280" s="935">
        <v>219226.14555436699</v>
      </c>
      <c r="D280" s="935">
        <v>46177.987388912501</v>
      </c>
      <c r="E280" s="935">
        <v>173048.15816545399</v>
      </c>
      <c r="F280" s="935">
        <v>218130.105749321</v>
      </c>
      <c r="G280" s="935">
        <v>45070.0640260703</v>
      </c>
      <c r="H280" s="935">
        <v>173060.04172325</v>
      </c>
      <c r="I280" s="935">
        <v>182993</v>
      </c>
      <c r="J280" s="935">
        <v>42015</v>
      </c>
      <c r="K280" s="935">
        <v>140978</v>
      </c>
      <c r="L280" s="935">
        <v>172211</v>
      </c>
      <c r="M280" s="935">
        <v>44749</v>
      </c>
      <c r="N280" s="935">
        <v>127462</v>
      </c>
      <c r="O280" s="935">
        <v>162956</v>
      </c>
      <c r="P280" s="935">
        <v>49112</v>
      </c>
      <c r="Q280" s="935">
        <v>113844</v>
      </c>
      <c r="R280" s="935">
        <v>146395</v>
      </c>
      <c r="S280" s="935">
        <v>48615</v>
      </c>
      <c r="T280" s="935">
        <v>97780</v>
      </c>
    </row>
    <row r="281" spans="1:20">
      <c r="A281" s="935">
        <v>24</v>
      </c>
      <c r="B281" s="935" t="s">
        <v>888</v>
      </c>
      <c r="C281" s="935">
        <v>985747.02999127505</v>
      </c>
      <c r="D281" s="935">
        <v>353421.75774740201</v>
      </c>
      <c r="E281" s="935">
        <v>632325.27224386705</v>
      </c>
      <c r="F281" s="935">
        <v>1005851.78510451</v>
      </c>
      <c r="G281" s="935">
        <v>367924.36746801401</v>
      </c>
      <c r="H281" s="935">
        <v>637927.41763649799</v>
      </c>
      <c r="I281" s="935">
        <v>940473</v>
      </c>
      <c r="J281" s="935">
        <v>385917</v>
      </c>
      <c r="K281" s="935">
        <v>554556</v>
      </c>
      <c r="L281" s="935">
        <v>917432</v>
      </c>
      <c r="M281" s="935">
        <v>402945</v>
      </c>
      <c r="N281" s="935">
        <v>514487</v>
      </c>
      <c r="O281" s="935">
        <v>904576</v>
      </c>
      <c r="P281" s="935">
        <v>425140</v>
      </c>
      <c r="Q281" s="935">
        <v>479436</v>
      </c>
      <c r="R281" s="935">
        <v>856590</v>
      </c>
      <c r="S281" s="935">
        <v>432720</v>
      </c>
      <c r="T281" s="935">
        <v>423870</v>
      </c>
    </row>
    <row r="282" spans="1:20">
      <c r="A282" s="935">
        <v>27</v>
      </c>
      <c r="B282" s="935" t="s">
        <v>1423</v>
      </c>
      <c r="C282" s="935">
        <v>1084581.7122907499</v>
      </c>
      <c r="D282" s="935">
        <v>382933.59929112298</v>
      </c>
      <c r="E282" s="935">
        <v>701648.11299962201</v>
      </c>
      <c r="F282" s="935">
        <v>1122322.3208876001</v>
      </c>
      <c r="G282" s="935">
        <v>411115.55751959898</v>
      </c>
      <c r="H282" s="935">
        <v>711206.763368004</v>
      </c>
      <c r="I282" s="935">
        <v>1049495</v>
      </c>
      <c r="J282" s="935">
        <v>429994</v>
      </c>
      <c r="K282" s="935">
        <v>619501</v>
      </c>
      <c r="L282" s="935">
        <v>1020282</v>
      </c>
      <c r="M282" s="935">
        <v>455769</v>
      </c>
      <c r="N282" s="935">
        <v>564513</v>
      </c>
      <c r="O282" s="935">
        <v>1034080</v>
      </c>
      <c r="P282" s="935">
        <v>504632</v>
      </c>
      <c r="Q282" s="935">
        <v>529448</v>
      </c>
      <c r="R282" s="935">
        <v>1028730</v>
      </c>
      <c r="S282" s="935">
        <v>548110</v>
      </c>
      <c r="T282" s="935">
        <v>480620</v>
      </c>
    </row>
    <row r="283" spans="1:20">
      <c r="A283" s="935">
        <v>28</v>
      </c>
      <c r="B283" s="935" t="s">
        <v>1405</v>
      </c>
      <c r="C283" s="935">
        <v>1283403.3385892501</v>
      </c>
      <c r="D283" s="935">
        <v>454043.83692294598</v>
      </c>
      <c r="E283" s="935">
        <v>829359.50166630396</v>
      </c>
      <c r="F283" s="935">
        <v>1310164.8246851501</v>
      </c>
      <c r="G283" s="935">
        <v>475203.94996221602</v>
      </c>
      <c r="H283" s="935">
        <v>834960.87472293095</v>
      </c>
      <c r="I283" s="935">
        <v>1203962</v>
      </c>
      <c r="J283" s="935">
        <v>490344</v>
      </c>
      <c r="K283" s="935">
        <v>713618</v>
      </c>
      <c r="L283" s="935">
        <v>1191415</v>
      </c>
      <c r="M283" s="935">
        <v>535386</v>
      </c>
      <c r="N283" s="935">
        <v>656029</v>
      </c>
      <c r="O283" s="935">
        <v>1190556</v>
      </c>
      <c r="P283" s="935">
        <v>580172</v>
      </c>
      <c r="Q283" s="935">
        <v>610384</v>
      </c>
      <c r="R283" s="935">
        <v>1178915</v>
      </c>
      <c r="S283" s="935">
        <v>629690</v>
      </c>
      <c r="T283" s="935">
        <v>549225</v>
      </c>
    </row>
    <row r="284" spans="1:20">
      <c r="A284" s="935">
        <v>32</v>
      </c>
      <c r="B284" s="935" t="s">
        <v>1404</v>
      </c>
      <c r="C284" s="935">
        <v>2127086.11193487</v>
      </c>
      <c r="D284" s="935">
        <v>721414.85552534997</v>
      </c>
      <c r="E284" s="935">
        <v>1405671.2564095201</v>
      </c>
      <c r="F284" s="935">
        <v>2164364.53994354</v>
      </c>
      <c r="G284" s="935">
        <v>761895.78355236503</v>
      </c>
      <c r="H284" s="935">
        <v>1402468.75639119</v>
      </c>
      <c r="I284" s="935">
        <v>1989944</v>
      </c>
      <c r="J284" s="935">
        <v>796956</v>
      </c>
      <c r="K284" s="935">
        <v>1192988</v>
      </c>
      <c r="L284" s="935">
        <v>1917544</v>
      </c>
      <c r="M284" s="935">
        <v>825202</v>
      </c>
      <c r="N284" s="935">
        <v>1092342</v>
      </c>
      <c r="O284" s="935">
        <v>1967988</v>
      </c>
      <c r="P284" s="935">
        <v>963412</v>
      </c>
      <c r="Q284" s="935">
        <v>1004576</v>
      </c>
      <c r="R284" s="935">
        <v>1994470</v>
      </c>
      <c r="S284" s="935">
        <v>1083055</v>
      </c>
      <c r="T284" s="935">
        <v>911415</v>
      </c>
    </row>
    <row r="285" spans="1:20">
      <c r="A285" s="935">
        <v>44</v>
      </c>
      <c r="B285" s="935" t="s">
        <v>1403</v>
      </c>
      <c r="C285" s="935">
        <v>2090934.8138462701</v>
      </c>
      <c r="D285" s="935">
        <v>726066.79849097296</v>
      </c>
      <c r="E285" s="935">
        <v>1364868.0153552999</v>
      </c>
      <c r="F285" s="935">
        <v>2159760.99755438</v>
      </c>
      <c r="G285" s="935">
        <v>775486.64085516497</v>
      </c>
      <c r="H285" s="935">
        <v>1384274.3566992299</v>
      </c>
      <c r="I285" s="935">
        <v>2022525</v>
      </c>
      <c r="J285" s="935">
        <v>815432</v>
      </c>
      <c r="K285" s="935">
        <v>1207093</v>
      </c>
      <c r="L285" s="935">
        <v>1951451</v>
      </c>
      <c r="M285" s="935">
        <v>846368</v>
      </c>
      <c r="N285" s="935">
        <v>1105083</v>
      </c>
      <c r="O285" s="935">
        <v>1965404</v>
      </c>
      <c r="P285" s="935">
        <v>925508</v>
      </c>
      <c r="Q285" s="935">
        <v>1039896</v>
      </c>
      <c r="R285" s="935">
        <v>1957635</v>
      </c>
      <c r="S285" s="935">
        <v>998725</v>
      </c>
      <c r="T285" s="935">
        <v>958910</v>
      </c>
    </row>
    <row r="286" spans="1:20">
      <c r="A286" s="935">
        <v>52</v>
      </c>
      <c r="B286" s="935" t="s">
        <v>510</v>
      </c>
      <c r="C286" s="935">
        <v>1509114.1705354501</v>
      </c>
      <c r="D286" s="935">
        <v>584675.34255956695</v>
      </c>
      <c r="E286" s="935">
        <v>924438.82797589595</v>
      </c>
      <c r="F286" s="935">
        <v>1483197.79633413</v>
      </c>
      <c r="G286" s="935">
        <v>584088.73932191299</v>
      </c>
      <c r="H286" s="935">
        <v>899109.05701224098</v>
      </c>
      <c r="I286" s="935">
        <v>1276353</v>
      </c>
      <c r="J286" s="935">
        <v>543942</v>
      </c>
      <c r="K286" s="935">
        <v>732411</v>
      </c>
      <c r="L286" s="935">
        <v>1165319</v>
      </c>
      <c r="M286" s="935">
        <v>523705</v>
      </c>
      <c r="N286" s="935">
        <v>641614</v>
      </c>
      <c r="O286" s="935">
        <v>1149340</v>
      </c>
      <c r="P286" s="935">
        <v>563100</v>
      </c>
      <c r="Q286" s="935">
        <v>586240</v>
      </c>
      <c r="R286" s="935">
        <v>1087050</v>
      </c>
      <c r="S286" s="935">
        <v>582390</v>
      </c>
      <c r="T286" s="935">
        <v>504660</v>
      </c>
    </row>
    <row r="287" spans="1:20">
      <c r="A287" s="935">
        <v>53</v>
      </c>
      <c r="B287" s="935" t="s">
        <v>508</v>
      </c>
      <c r="C287" s="935">
        <v>1297919.62317949</v>
      </c>
      <c r="D287" s="935">
        <v>448574.43454893801</v>
      </c>
      <c r="E287" s="935">
        <v>849345.188630544</v>
      </c>
      <c r="F287" s="935">
        <v>1294141.88495687</v>
      </c>
      <c r="G287" s="935">
        <v>457450.54358699801</v>
      </c>
      <c r="H287" s="935">
        <v>836691.34136985894</v>
      </c>
      <c r="I287" s="935">
        <v>1115252</v>
      </c>
      <c r="J287" s="935">
        <v>427687</v>
      </c>
      <c r="K287" s="935">
        <v>687565</v>
      </c>
      <c r="L287" s="935">
        <v>1036307</v>
      </c>
      <c r="M287" s="935">
        <v>429096</v>
      </c>
      <c r="N287" s="935">
        <v>607211</v>
      </c>
      <c r="O287" s="935">
        <v>1032672</v>
      </c>
      <c r="P287" s="935">
        <v>476296</v>
      </c>
      <c r="Q287" s="935">
        <v>556376</v>
      </c>
      <c r="R287" s="935">
        <v>975685</v>
      </c>
      <c r="S287" s="935">
        <v>486120</v>
      </c>
      <c r="T287" s="935">
        <v>489565</v>
      </c>
    </row>
    <row r="288" spans="1:20">
      <c r="A288" s="935">
        <v>75</v>
      </c>
      <c r="B288" s="935" t="s">
        <v>1406</v>
      </c>
      <c r="C288" s="935">
        <v>2315839.2802083902</v>
      </c>
      <c r="D288" s="935">
        <v>756728.18697022297</v>
      </c>
      <c r="E288" s="935">
        <v>1559111.09323817</v>
      </c>
      <c r="F288" s="935">
        <v>2297164.24760033</v>
      </c>
      <c r="G288" s="935">
        <v>766526.33812217601</v>
      </c>
      <c r="H288" s="935">
        <v>1530637.9094781501</v>
      </c>
      <c r="I288" s="935">
        <v>1995734</v>
      </c>
      <c r="J288" s="935">
        <v>731828</v>
      </c>
      <c r="K288" s="935">
        <v>1263906</v>
      </c>
      <c r="L288" s="935">
        <v>1918077</v>
      </c>
      <c r="M288" s="935">
        <v>769122</v>
      </c>
      <c r="N288" s="935">
        <v>1148955</v>
      </c>
      <c r="O288" s="935">
        <v>1890028</v>
      </c>
      <c r="P288" s="935">
        <v>838776</v>
      </c>
      <c r="Q288" s="935">
        <v>1051252</v>
      </c>
      <c r="R288" s="935">
        <v>1824035</v>
      </c>
      <c r="S288" s="935">
        <v>885130</v>
      </c>
      <c r="T288" s="935">
        <v>938905</v>
      </c>
    </row>
    <row r="289" spans="1:20">
      <c r="A289" s="935">
        <v>76</v>
      </c>
      <c r="B289" s="935" t="s">
        <v>1407</v>
      </c>
      <c r="C289" s="935">
        <v>2174243.5737316199</v>
      </c>
      <c r="D289" s="935">
        <v>683866.50003036798</v>
      </c>
      <c r="E289" s="935">
        <v>1490377.0737012699</v>
      </c>
      <c r="F289" s="935">
        <v>2115636.14488139</v>
      </c>
      <c r="G289" s="935">
        <v>669949.72695827996</v>
      </c>
      <c r="H289" s="935">
        <v>1445686.4179231499</v>
      </c>
      <c r="I289" s="935">
        <v>1735424</v>
      </c>
      <c r="J289" s="935">
        <v>583785</v>
      </c>
      <c r="K289" s="935">
        <v>1151639</v>
      </c>
      <c r="L289" s="935">
        <v>1629345</v>
      </c>
      <c r="M289" s="935">
        <v>602741</v>
      </c>
      <c r="N289" s="935">
        <v>1026604</v>
      </c>
      <c r="O289" s="935">
        <v>1506016</v>
      </c>
      <c r="P289" s="935">
        <v>610268</v>
      </c>
      <c r="Q289" s="935">
        <v>895748</v>
      </c>
      <c r="R289" s="935">
        <v>1415845</v>
      </c>
      <c r="S289" s="935">
        <v>629235</v>
      </c>
      <c r="T289" s="935">
        <v>786610</v>
      </c>
    </row>
    <row r="290" spans="1:20">
      <c r="A290" s="935">
        <v>84</v>
      </c>
      <c r="B290" s="935" t="s">
        <v>1402</v>
      </c>
      <c r="C290" s="935">
        <v>3173978.7788915099</v>
      </c>
      <c r="D290" s="935">
        <v>1147649.8125235401</v>
      </c>
      <c r="E290" s="935">
        <v>2026328.96636796</v>
      </c>
      <c r="F290" s="935">
        <v>3125142.5590618998</v>
      </c>
      <c r="G290" s="935">
        <v>1155639.8426745001</v>
      </c>
      <c r="H290" s="935">
        <v>1969502.7163873799</v>
      </c>
      <c r="I290" s="935">
        <v>2767096</v>
      </c>
      <c r="J290" s="935">
        <v>1127846</v>
      </c>
      <c r="K290" s="935">
        <v>1639250</v>
      </c>
      <c r="L290" s="935">
        <v>2654149</v>
      </c>
      <c r="M290" s="935">
        <v>1153492</v>
      </c>
      <c r="N290" s="935">
        <v>1500657</v>
      </c>
      <c r="O290" s="935">
        <v>2543884</v>
      </c>
      <c r="P290" s="935">
        <v>1191180</v>
      </c>
      <c r="Q290" s="935">
        <v>1352704</v>
      </c>
      <c r="R290" s="935">
        <v>2459425</v>
      </c>
      <c r="S290" s="935">
        <v>1264525</v>
      </c>
      <c r="T290" s="935">
        <v>1194900</v>
      </c>
    </row>
    <row r="291" spans="1:20">
      <c r="A291" s="935">
        <v>93</v>
      </c>
      <c r="B291" s="935" t="s">
        <v>290</v>
      </c>
      <c r="C291" s="935">
        <v>1889851.89406991</v>
      </c>
      <c r="D291" s="935">
        <v>534136.32694810897</v>
      </c>
      <c r="E291" s="935">
        <v>1355715.56712177</v>
      </c>
      <c r="F291" s="935">
        <v>1875629.17259671</v>
      </c>
      <c r="G291" s="935">
        <v>525782.12879412901</v>
      </c>
      <c r="H291" s="935">
        <v>1349847.0438025701</v>
      </c>
      <c r="I291" s="935">
        <v>1576808</v>
      </c>
      <c r="J291" s="935">
        <v>459185</v>
      </c>
      <c r="K291" s="935">
        <v>1117623</v>
      </c>
      <c r="L291" s="935">
        <v>1510147</v>
      </c>
      <c r="M291" s="935">
        <v>473371</v>
      </c>
      <c r="N291" s="935">
        <v>1036776</v>
      </c>
      <c r="O291" s="935">
        <v>1399212</v>
      </c>
      <c r="P291" s="935">
        <v>470684</v>
      </c>
      <c r="Q291" s="935">
        <v>928528</v>
      </c>
      <c r="R291" s="935">
        <v>1319050</v>
      </c>
      <c r="S291" s="935">
        <v>482820</v>
      </c>
      <c r="T291" s="935">
        <v>836230</v>
      </c>
    </row>
    <row r="292" spans="1:20">
      <c r="A292" s="935">
        <v>94</v>
      </c>
      <c r="B292" s="935" t="s">
        <v>883</v>
      </c>
      <c r="C292" s="935">
        <v>127023.936750975</v>
      </c>
      <c r="D292" s="935">
        <v>25940.6390925903</v>
      </c>
      <c r="E292" s="935">
        <v>101083.297658387</v>
      </c>
      <c r="F292" s="935">
        <v>119316.892008058</v>
      </c>
      <c r="G292" s="935">
        <v>23848.759997334098</v>
      </c>
      <c r="H292" s="935">
        <v>95468.132010724104</v>
      </c>
      <c r="I292" s="935">
        <v>85670</v>
      </c>
      <c r="J292" s="935">
        <v>17869</v>
      </c>
      <c r="K292" s="935">
        <v>67801</v>
      </c>
      <c r="L292" s="935">
        <v>82888</v>
      </c>
      <c r="M292" s="935">
        <v>19784</v>
      </c>
      <c r="N292" s="935">
        <v>63104</v>
      </c>
      <c r="O292" s="935">
        <v>78636</v>
      </c>
      <c r="P292" s="935">
        <v>21544</v>
      </c>
      <c r="Q292" s="935">
        <v>57092</v>
      </c>
      <c r="R292" s="935">
        <v>76695</v>
      </c>
      <c r="S292" s="935">
        <v>26875</v>
      </c>
      <c r="T292" s="935">
        <v>49820</v>
      </c>
    </row>
    <row r="293" spans="1:20">
      <c r="A293" s="935">
        <v>11</v>
      </c>
      <c r="B293" s="935" t="s">
        <v>871</v>
      </c>
      <c r="C293" s="935">
        <v>5687706.6366444603</v>
      </c>
      <c r="D293" s="935">
        <v>2029803.9912008501</v>
      </c>
      <c r="E293" s="935">
        <v>3657902.64544365</v>
      </c>
      <c r="F293" s="935">
        <v>5645434.0273086</v>
      </c>
      <c r="G293" s="935">
        <v>2011708.2268646201</v>
      </c>
      <c r="H293" s="935">
        <v>3633725.8004442002</v>
      </c>
      <c r="I293" s="935">
        <v>5041966</v>
      </c>
      <c r="J293" s="935">
        <v>1905098</v>
      </c>
      <c r="K293" s="935">
        <v>3136868</v>
      </c>
      <c r="L293" s="935">
        <v>5075926</v>
      </c>
      <c r="M293" s="935">
        <v>1994368</v>
      </c>
      <c r="N293" s="935">
        <v>3081558</v>
      </c>
      <c r="O293" s="935">
        <v>4704724</v>
      </c>
      <c r="P293" s="935">
        <v>1881176</v>
      </c>
      <c r="Q293" s="935">
        <v>2823548</v>
      </c>
      <c r="R293" s="935">
        <v>4674575</v>
      </c>
      <c r="S293" s="935">
        <v>1974310</v>
      </c>
      <c r="T293" s="935">
        <v>2700265</v>
      </c>
    </row>
    <row r="294" spans="1:20">
      <c r="A294" s="935"/>
      <c r="B294" s="935" t="s">
        <v>1908</v>
      </c>
      <c r="C294" s="935">
        <v>25747430.900664221</v>
      </c>
      <c r="D294" s="935">
        <v>8849256.0818519779</v>
      </c>
      <c r="E294" s="935">
        <v>16898174.818812259</v>
      </c>
      <c r="F294" s="935">
        <v>25718127.192923173</v>
      </c>
      <c r="G294" s="935">
        <v>8986620.6056773067</v>
      </c>
      <c r="H294" s="935">
        <v>16731506.587246129</v>
      </c>
      <c r="I294" s="935">
        <v>22800702</v>
      </c>
      <c r="J294" s="935">
        <v>8715883</v>
      </c>
      <c r="K294" s="935">
        <v>14084819</v>
      </c>
      <c r="L294" s="935">
        <v>22070282</v>
      </c>
      <c r="M294" s="935">
        <v>9031349</v>
      </c>
      <c r="N294" s="935">
        <v>13038933</v>
      </c>
      <c r="O294" s="935">
        <v>21367116</v>
      </c>
      <c r="P294" s="935">
        <v>9451888</v>
      </c>
      <c r="Q294" s="935">
        <v>11915228</v>
      </c>
      <c r="R294" s="935">
        <v>20848700</v>
      </c>
      <c r="S294" s="935">
        <v>10023705</v>
      </c>
      <c r="T294" s="935">
        <v>10824995</v>
      </c>
    </row>
    <row r="295" spans="1:20">
      <c r="A295" s="55"/>
      <c r="B295"/>
    </row>
    <row r="296" spans="1:20">
      <c r="A296" s="55"/>
      <c r="B296"/>
      <c r="C296" s="868">
        <f>MAX(C235:T280)</f>
        <v>1002781.22675217</v>
      </c>
    </row>
    <row r="297" spans="1:20">
      <c r="A297" s="55"/>
      <c r="B297"/>
    </row>
    <row r="298" spans="1:20">
      <c r="A298" s="55"/>
      <c r="B298"/>
    </row>
    <row r="299" spans="1:20">
      <c r="A299" s="55"/>
      <c r="B299"/>
    </row>
    <row r="300" spans="1:20">
      <c r="A300" s="55"/>
      <c r="B300"/>
    </row>
    <row r="301" spans="1:20">
      <c r="A301" s="55"/>
      <c r="B301"/>
    </row>
    <row r="302" spans="1:20">
      <c r="A302" s="55"/>
      <c r="B302"/>
    </row>
    <row r="303" spans="1:20">
      <c r="A303" s="55"/>
      <c r="B303"/>
    </row>
    <row r="304" spans="1:20">
      <c r="A304" s="55"/>
      <c r="B304"/>
    </row>
    <row r="305" spans="1:2">
      <c r="A305" s="55"/>
      <c r="B305"/>
    </row>
    <row r="306" spans="1:2">
      <c r="A306" s="55"/>
      <c r="B306"/>
    </row>
    <row r="307" spans="1:2">
      <c r="A307" s="55"/>
      <c r="B307"/>
    </row>
    <row r="308" spans="1:2">
      <c r="A308" s="55"/>
      <c r="B308"/>
    </row>
    <row r="309" spans="1:2">
      <c r="A309" s="55"/>
      <c r="B309"/>
    </row>
    <row r="310" spans="1:2">
      <c r="A310" s="55"/>
      <c r="B310"/>
    </row>
    <row r="311" spans="1:2">
      <c r="A311" s="55"/>
      <c r="B311"/>
    </row>
    <row r="312" spans="1:2">
      <c r="A312" s="55"/>
      <c r="B312"/>
    </row>
    <row r="313" spans="1:2">
      <c r="A313" s="55"/>
      <c r="B313"/>
    </row>
    <row r="314" spans="1:2">
      <c r="A314" s="55"/>
      <c r="B314"/>
    </row>
    <row r="315" spans="1:2">
      <c r="A315" s="55"/>
      <c r="B315"/>
    </row>
    <row r="316" spans="1:2">
      <c r="A316" s="55"/>
      <c r="B316"/>
    </row>
    <row r="317" spans="1:2">
      <c r="A317" s="55"/>
      <c r="B317"/>
    </row>
    <row r="318" spans="1:2">
      <c r="A318" s="55"/>
      <c r="B318"/>
    </row>
    <row r="319" spans="1:2">
      <c r="A319" s="55"/>
      <c r="B319"/>
    </row>
    <row r="320" spans="1:2">
      <c r="A320" s="55"/>
      <c r="B320"/>
    </row>
    <row r="321" spans="1:2">
      <c r="A321" s="55"/>
      <c r="B321"/>
    </row>
    <row r="322" spans="1:2">
      <c r="A322" s="55"/>
      <c r="B322"/>
    </row>
    <row r="323" spans="1:2">
      <c r="A323" s="55"/>
      <c r="B323"/>
    </row>
    <row r="324" spans="1:2">
      <c r="A324" s="55"/>
      <c r="B324"/>
    </row>
    <row r="325" spans="1:2">
      <c r="A325" s="55"/>
      <c r="B325"/>
    </row>
    <row r="326" spans="1:2">
      <c r="A326" s="55"/>
      <c r="B326"/>
    </row>
    <row r="327" spans="1:2">
      <c r="A327" s="55"/>
      <c r="B327"/>
    </row>
    <row r="328" spans="1:2">
      <c r="A328" s="55"/>
      <c r="B328"/>
    </row>
    <row r="329" spans="1:2">
      <c r="A329" s="55"/>
      <c r="B329"/>
    </row>
    <row r="330" spans="1:2">
      <c r="A330" s="55"/>
      <c r="B330"/>
    </row>
    <row r="331" spans="1:2">
      <c r="A331" s="55"/>
      <c r="B331"/>
    </row>
    <row r="332" spans="1:2">
      <c r="A332" s="55"/>
      <c r="B332"/>
    </row>
    <row r="333" spans="1:2">
      <c r="A333" s="55"/>
      <c r="B333"/>
    </row>
    <row r="334" spans="1:2">
      <c r="A334" s="55"/>
      <c r="B334"/>
    </row>
    <row r="335" spans="1:2">
      <c r="A335" s="55"/>
      <c r="B335"/>
    </row>
    <row r="336" spans="1:2">
      <c r="A336" s="55"/>
      <c r="B336"/>
    </row>
    <row r="337" spans="1:2">
      <c r="A337" s="55"/>
      <c r="B337"/>
    </row>
    <row r="338" spans="1:2">
      <c r="A338" s="55"/>
      <c r="B338"/>
    </row>
    <row r="339" spans="1:2">
      <c r="A339" s="55"/>
      <c r="B339"/>
    </row>
    <row r="340" spans="1:2">
      <c r="A340" s="55"/>
      <c r="B340"/>
    </row>
    <row r="341" spans="1:2">
      <c r="A341" s="55"/>
      <c r="B341"/>
    </row>
    <row r="342" spans="1:2">
      <c r="A342" s="55"/>
      <c r="B342"/>
    </row>
    <row r="343" spans="1:2">
      <c r="A343" s="55"/>
      <c r="B343"/>
    </row>
    <row r="344" spans="1:2">
      <c r="A344" s="55"/>
      <c r="B344"/>
    </row>
    <row r="345" spans="1:2">
      <c r="A345" s="55"/>
      <c r="B345"/>
    </row>
    <row r="346" spans="1:2">
      <c r="A346" s="55"/>
      <c r="B346"/>
    </row>
    <row r="347" spans="1:2">
      <c r="A347" s="55"/>
      <c r="B347"/>
    </row>
    <row r="348" spans="1:2">
      <c r="A348" s="55"/>
      <c r="B348"/>
    </row>
    <row r="349" spans="1:2">
      <c r="A349" s="55"/>
      <c r="B349"/>
    </row>
    <row r="350" spans="1:2">
      <c r="A350" s="55"/>
      <c r="B350"/>
    </row>
    <row r="351" spans="1:2">
      <c r="A351" s="55"/>
      <c r="B351"/>
    </row>
    <row r="352" spans="1:2">
      <c r="A352" s="55"/>
      <c r="B352"/>
    </row>
    <row r="353" spans="1:2">
      <c r="A353" s="55"/>
      <c r="B353"/>
    </row>
    <row r="354" spans="1:2">
      <c r="A354" s="55"/>
      <c r="B354"/>
    </row>
    <row r="355" spans="1:2">
      <c r="A355" s="55"/>
      <c r="B355"/>
    </row>
    <row r="356" spans="1:2">
      <c r="A356" s="55"/>
      <c r="B356"/>
    </row>
    <row r="357" spans="1:2">
      <c r="A357" s="55"/>
      <c r="B357"/>
    </row>
    <row r="358" spans="1:2">
      <c r="A358" s="55"/>
      <c r="B358"/>
    </row>
    <row r="359" spans="1:2">
      <c r="A359" s="55"/>
      <c r="B359"/>
    </row>
    <row r="360" spans="1:2">
      <c r="A360" s="55"/>
      <c r="B360"/>
    </row>
    <row r="361" spans="1:2">
      <c r="A361" s="55"/>
      <c r="B361"/>
    </row>
    <row r="362" spans="1:2">
      <c r="A362" s="55"/>
      <c r="B362"/>
    </row>
    <row r="363" spans="1:2">
      <c r="A363" s="55"/>
      <c r="B363"/>
    </row>
    <row r="364" spans="1:2">
      <c r="A364" s="55"/>
      <c r="B364"/>
    </row>
    <row r="365" spans="1:2">
      <c r="A365" s="55"/>
      <c r="B365"/>
    </row>
    <row r="366" spans="1:2">
      <c r="A366" s="55"/>
      <c r="B366"/>
    </row>
    <row r="367" spans="1:2">
      <c r="A367" s="55"/>
      <c r="B367"/>
    </row>
    <row r="368" spans="1:2">
      <c r="A368" s="55"/>
      <c r="B368"/>
    </row>
    <row r="369" spans="1:2">
      <c r="A369" s="55"/>
      <c r="B369"/>
    </row>
    <row r="370" spans="1:2">
      <c r="A370" s="55"/>
      <c r="B370"/>
    </row>
    <row r="371" spans="1:2">
      <c r="A371" s="55"/>
      <c r="B371"/>
    </row>
    <row r="372" spans="1:2">
      <c r="A372" s="55"/>
      <c r="B372"/>
    </row>
    <row r="373" spans="1:2">
      <c r="A373" s="55"/>
      <c r="B373"/>
    </row>
    <row r="374" spans="1:2">
      <c r="A374" s="55"/>
      <c r="B374"/>
    </row>
    <row r="375" spans="1:2">
      <c r="A375" s="55"/>
      <c r="B375"/>
    </row>
    <row r="376" spans="1:2">
      <c r="A376" s="55"/>
      <c r="B376"/>
    </row>
    <row r="377" spans="1:2">
      <c r="A377" s="55"/>
      <c r="B377"/>
    </row>
    <row r="378" spans="1:2">
      <c r="A378" s="55"/>
      <c r="B378"/>
    </row>
    <row r="379" spans="1:2">
      <c r="A379" s="55"/>
      <c r="B379"/>
    </row>
    <row r="380" spans="1:2">
      <c r="A380" s="55"/>
      <c r="B380"/>
    </row>
    <row r="381" spans="1:2">
      <c r="A381" s="55"/>
      <c r="B381"/>
    </row>
    <row r="382" spans="1:2">
      <c r="A382" s="55"/>
      <c r="B382"/>
    </row>
    <row r="383" spans="1:2">
      <c r="A383" s="55"/>
      <c r="B383"/>
    </row>
    <row r="384" spans="1:2">
      <c r="A384" s="55"/>
      <c r="B384"/>
    </row>
    <row r="385" spans="1:2">
      <c r="A385" s="55"/>
      <c r="B385"/>
    </row>
    <row r="386" spans="1:2">
      <c r="A386" s="55"/>
      <c r="B386"/>
    </row>
    <row r="387" spans="1:2">
      <c r="A387" s="55"/>
      <c r="B387"/>
    </row>
    <row r="388" spans="1:2">
      <c r="A388" s="55"/>
      <c r="B388"/>
    </row>
    <row r="389" spans="1:2">
      <c r="A389" s="55"/>
      <c r="B389"/>
    </row>
    <row r="390" spans="1:2">
      <c r="A390" s="55"/>
      <c r="B390"/>
    </row>
    <row r="391" spans="1:2">
      <c r="A391" s="55"/>
      <c r="B391"/>
    </row>
    <row r="392" spans="1:2">
      <c r="A392" s="55"/>
      <c r="B392"/>
    </row>
    <row r="393" spans="1:2">
      <c r="A393" s="55"/>
      <c r="B393"/>
    </row>
    <row r="394" spans="1:2">
      <c r="A394" s="55"/>
      <c r="B394"/>
    </row>
    <row r="395" spans="1:2">
      <c r="A395" s="55"/>
      <c r="B395"/>
    </row>
    <row r="396" spans="1:2">
      <c r="A396" s="55"/>
      <c r="B396"/>
    </row>
    <row r="397" spans="1:2">
      <c r="A397" s="55"/>
      <c r="B397"/>
    </row>
    <row r="398" spans="1:2">
      <c r="A398" s="55"/>
      <c r="B398"/>
    </row>
    <row r="399" spans="1:2">
      <c r="A399" s="55"/>
      <c r="B399"/>
    </row>
    <row r="400" spans="1:2">
      <c r="A400" s="55"/>
      <c r="B400"/>
    </row>
    <row r="401" spans="1:2">
      <c r="A401" s="55"/>
      <c r="B401"/>
    </row>
    <row r="402" spans="1:2">
      <c r="A402" s="55"/>
      <c r="B402"/>
    </row>
    <row r="403" spans="1:2">
      <c r="A403" s="55"/>
      <c r="B403"/>
    </row>
    <row r="404" spans="1:2">
      <c r="A404" s="55"/>
      <c r="B404"/>
    </row>
    <row r="405" spans="1:2">
      <c r="A405" s="55"/>
      <c r="B405"/>
    </row>
    <row r="406" spans="1:2">
      <c r="A406" s="55"/>
      <c r="B406"/>
    </row>
    <row r="407" spans="1:2">
      <c r="A407" s="55"/>
      <c r="B407"/>
    </row>
    <row r="408" spans="1:2">
      <c r="A408" s="55"/>
      <c r="B408"/>
    </row>
    <row r="409" spans="1:2">
      <c r="A409" s="55"/>
      <c r="B409"/>
    </row>
    <row r="410" spans="1:2">
      <c r="A410" s="55"/>
      <c r="B410"/>
    </row>
    <row r="411" spans="1:2">
      <c r="A411" s="55"/>
      <c r="B411"/>
    </row>
    <row r="412" spans="1:2">
      <c r="A412" s="55"/>
      <c r="B412"/>
    </row>
    <row r="413" spans="1:2">
      <c r="A413" s="55"/>
      <c r="B413"/>
    </row>
    <row r="414" spans="1:2">
      <c r="A414" s="55"/>
      <c r="B414"/>
    </row>
    <row r="415" spans="1:2">
      <c r="A415" s="55"/>
      <c r="B415"/>
    </row>
    <row r="416" spans="1:2">
      <c r="A416" s="55"/>
      <c r="B416"/>
    </row>
    <row r="417" spans="1:2">
      <c r="A417" s="55"/>
      <c r="B417"/>
    </row>
    <row r="418" spans="1:2">
      <c r="A418" s="55"/>
      <c r="B418"/>
    </row>
    <row r="419" spans="1:2">
      <c r="A419" s="55"/>
      <c r="B419"/>
    </row>
    <row r="420" spans="1:2">
      <c r="A420" s="55"/>
      <c r="B420"/>
    </row>
    <row r="421" spans="1:2">
      <c r="A421" s="55"/>
      <c r="B421"/>
    </row>
    <row r="422" spans="1:2">
      <c r="A422" s="55"/>
      <c r="B422"/>
    </row>
    <row r="423" spans="1:2">
      <c r="A423" s="55"/>
      <c r="B423"/>
    </row>
    <row r="424" spans="1:2">
      <c r="A424" s="55"/>
      <c r="B424"/>
    </row>
    <row r="425" spans="1:2">
      <c r="A425" s="55"/>
      <c r="B425"/>
    </row>
    <row r="426" spans="1:2">
      <c r="A426" s="55"/>
      <c r="B426"/>
    </row>
    <row r="427" spans="1:2">
      <c r="A427" s="55"/>
      <c r="B427"/>
    </row>
    <row r="428" spans="1:2">
      <c r="A428" s="55"/>
      <c r="B428"/>
    </row>
    <row r="429" spans="1:2">
      <c r="A429" s="55"/>
      <c r="B429"/>
    </row>
    <row r="430" spans="1:2">
      <c r="A430" s="55"/>
      <c r="B430"/>
    </row>
    <row r="431" spans="1:2">
      <c r="A431" s="55"/>
      <c r="B431"/>
    </row>
    <row r="432" spans="1:2">
      <c r="A432" s="55"/>
      <c r="B432"/>
    </row>
    <row r="433" spans="1:2">
      <c r="A433" s="55"/>
      <c r="B433"/>
    </row>
    <row r="434" spans="1:2">
      <c r="A434" s="55"/>
      <c r="B434"/>
    </row>
    <row r="435" spans="1:2">
      <c r="A435" s="55"/>
      <c r="B435"/>
    </row>
    <row r="436" spans="1:2">
      <c r="A436" s="55"/>
      <c r="B436"/>
    </row>
    <row r="437" spans="1:2">
      <c r="A437" s="55"/>
      <c r="B437"/>
    </row>
    <row r="438" spans="1:2">
      <c r="A438" s="55"/>
      <c r="B438"/>
    </row>
    <row r="439" spans="1:2">
      <c r="A439" s="55"/>
      <c r="B439"/>
    </row>
    <row r="440" spans="1:2">
      <c r="A440" s="55"/>
      <c r="B440"/>
    </row>
    <row r="441" spans="1:2">
      <c r="A441" s="55"/>
      <c r="B441"/>
    </row>
    <row r="442" spans="1:2">
      <c r="A442" s="55"/>
      <c r="B442"/>
    </row>
    <row r="443" spans="1:2">
      <c r="A443" s="55"/>
      <c r="B443"/>
    </row>
    <row r="444" spans="1:2">
      <c r="A444" s="55"/>
      <c r="B444"/>
    </row>
    <row r="445" spans="1:2">
      <c r="A445" s="55"/>
      <c r="B445"/>
    </row>
    <row r="446" spans="1:2">
      <c r="A446" s="55"/>
      <c r="B446"/>
    </row>
    <row r="447" spans="1:2">
      <c r="A447" s="55"/>
      <c r="B447"/>
    </row>
    <row r="448" spans="1:2">
      <c r="A448" s="55"/>
      <c r="B448"/>
    </row>
    <row r="449" spans="1:2">
      <c r="A449" s="55"/>
      <c r="B449"/>
    </row>
    <row r="450" spans="1:2">
      <c r="A450" s="55"/>
      <c r="B450"/>
    </row>
    <row r="451" spans="1:2">
      <c r="A451" s="55"/>
      <c r="B451"/>
    </row>
    <row r="452" spans="1:2">
      <c r="A452" s="55"/>
      <c r="B452"/>
    </row>
    <row r="453" spans="1:2">
      <c r="A453" s="55"/>
      <c r="B453"/>
    </row>
    <row r="454" spans="1:2">
      <c r="A454" s="55"/>
      <c r="B454"/>
    </row>
    <row r="455" spans="1:2">
      <c r="A455" s="55"/>
      <c r="B455"/>
    </row>
    <row r="456" spans="1:2">
      <c r="A456" s="55"/>
      <c r="B456"/>
    </row>
    <row r="457" spans="1:2">
      <c r="A457" s="55"/>
      <c r="B457"/>
    </row>
    <row r="458" spans="1:2">
      <c r="A458" s="55"/>
      <c r="B458"/>
    </row>
    <row r="459" spans="1:2">
      <c r="A459" s="55"/>
      <c r="B459"/>
    </row>
    <row r="460" spans="1:2">
      <c r="A460" s="55"/>
      <c r="B460"/>
    </row>
    <row r="461" spans="1:2">
      <c r="A461" s="55"/>
      <c r="B461"/>
    </row>
    <row r="462" spans="1:2">
      <c r="A462" s="55"/>
      <c r="B462"/>
    </row>
    <row r="463" spans="1:2">
      <c r="A463" s="55"/>
      <c r="B463"/>
    </row>
    <row r="464" spans="1:2">
      <c r="A464" s="55"/>
      <c r="B464"/>
    </row>
    <row r="465" spans="1:2">
      <c r="A465" s="55"/>
      <c r="B465"/>
    </row>
    <row r="466" spans="1:2">
      <c r="A466" s="55"/>
      <c r="B466"/>
    </row>
    <row r="467" spans="1:2">
      <c r="A467" s="55"/>
      <c r="B467"/>
    </row>
    <row r="468" spans="1:2">
      <c r="A468" s="55"/>
      <c r="B468"/>
    </row>
    <row r="469" spans="1:2">
      <c r="A469" s="55"/>
      <c r="B469"/>
    </row>
    <row r="470" spans="1:2">
      <c r="A470" s="55"/>
      <c r="B470"/>
    </row>
    <row r="471" spans="1:2">
      <c r="A471" s="55"/>
      <c r="B471"/>
    </row>
    <row r="472" spans="1:2">
      <c r="A472" s="55"/>
      <c r="B472"/>
    </row>
    <row r="473" spans="1:2">
      <c r="A473" s="55"/>
      <c r="B473"/>
    </row>
    <row r="474" spans="1:2">
      <c r="A474" s="55"/>
      <c r="B474"/>
    </row>
    <row r="475" spans="1:2">
      <c r="A475" s="55"/>
      <c r="B475"/>
    </row>
    <row r="476" spans="1:2">
      <c r="A476" s="55"/>
      <c r="B476"/>
    </row>
    <row r="477" spans="1:2">
      <c r="A477" s="55"/>
      <c r="B477"/>
    </row>
    <row r="478" spans="1:2">
      <c r="A478" s="55"/>
      <c r="B478"/>
    </row>
    <row r="479" spans="1:2">
      <c r="A479" s="55"/>
      <c r="B479"/>
    </row>
    <row r="480" spans="1:2">
      <c r="A480" s="55"/>
      <c r="B480"/>
    </row>
    <row r="481" spans="1:2">
      <c r="A481" s="55"/>
      <c r="B481"/>
    </row>
    <row r="482" spans="1:2">
      <c r="A482" s="55"/>
      <c r="B482"/>
    </row>
    <row r="483" spans="1:2">
      <c r="A483" s="55"/>
      <c r="B483"/>
    </row>
    <row r="484" spans="1:2">
      <c r="A484" s="55"/>
      <c r="B484"/>
    </row>
    <row r="485" spans="1:2">
      <c r="A485" s="55"/>
      <c r="B485"/>
    </row>
    <row r="486" spans="1:2">
      <c r="A486" s="55"/>
      <c r="B486"/>
    </row>
    <row r="487" spans="1:2">
      <c r="A487" s="55"/>
      <c r="B487"/>
    </row>
    <row r="488" spans="1:2">
      <c r="A488" s="55"/>
      <c r="B488"/>
    </row>
    <row r="489" spans="1:2">
      <c r="A489" s="55"/>
      <c r="B489"/>
    </row>
    <row r="490" spans="1:2">
      <c r="A490" s="55"/>
      <c r="B490"/>
    </row>
    <row r="491" spans="1:2">
      <c r="A491" s="55"/>
      <c r="B491"/>
    </row>
    <row r="492" spans="1:2">
      <c r="A492" s="55"/>
      <c r="B492"/>
    </row>
    <row r="493" spans="1:2">
      <c r="A493" s="55"/>
      <c r="B493"/>
    </row>
    <row r="494" spans="1:2">
      <c r="A494" s="55"/>
      <c r="B494"/>
    </row>
    <row r="495" spans="1:2">
      <c r="A495" s="55"/>
      <c r="B495"/>
    </row>
    <row r="496" spans="1:2">
      <c r="A496" s="55"/>
      <c r="B496"/>
    </row>
    <row r="497" spans="1:2">
      <c r="A497" s="55"/>
      <c r="B497"/>
    </row>
    <row r="498" spans="1:2">
      <c r="A498" s="55"/>
      <c r="B498"/>
    </row>
    <row r="499" spans="1:2">
      <c r="A499" s="55"/>
      <c r="B499"/>
    </row>
    <row r="500" spans="1:2">
      <c r="A500" s="55"/>
      <c r="B500"/>
    </row>
    <row r="501" spans="1:2">
      <c r="A501" s="55"/>
      <c r="B501"/>
    </row>
    <row r="502" spans="1:2">
      <c r="A502" s="55"/>
      <c r="B502"/>
    </row>
    <row r="503" spans="1:2">
      <c r="A503" s="55"/>
      <c r="B503"/>
    </row>
    <row r="504" spans="1:2">
      <c r="A504" s="55"/>
      <c r="B504"/>
    </row>
    <row r="505" spans="1:2">
      <c r="A505" s="55"/>
      <c r="B505"/>
    </row>
    <row r="506" spans="1:2">
      <c r="A506" s="55"/>
      <c r="B506"/>
    </row>
    <row r="507" spans="1:2">
      <c r="A507" s="55"/>
      <c r="B507"/>
    </row>
    <row r="508" spans="1:2">
      <c r="A508" s="55"/>
      <c r="B508"/>
    </row>
    <row r="509" spans="1:2">
      <c r="A509" s="55"/>
      <c r="B509"/>
    </row>
    <row r="510" spans="1:2">
      <c r="A510" s="55"/>
      <c r="B510"/>
    </row>
    <row r="511" spans="1:2">
      <c r="A511" s="55"/>
      <c r="B511"/>
    </row>
    <row r="512" spans="1:2">
      <c r="A512" s="55"/>
      <c r="B512"/>
    </row>
    <row r="513" spans="1:2">
      <c r="A513" s="55"/>
      <c r="B513"/>
    </row>
    <row r="514" spans="1:2">
      <c r="A514" s="55"/>
      <c r="B514"/>
    </row>
    <row r="515" spans="1:2">
      <c r="A515" s="55"/>
      <c r="B515"/>
    </row>
    <row r="516" spans="1:2">
      <c r="A516" s="55"/>
      <c r="B516"/>
    </row>
    <row r="517" spans="1:2">
      <c r="A517" s="55"/>
      <c r="B517"/>
    </row>
    <row r="518" spans="1:2">
      <c r="A518" s="55"/>
      <c r="B518"/>
    </row>
    <row r="519" spans="1:2">
      <c r="A519" s="55"/>
      <c r="B519"/>
    </row>
    <row r="520" spans="1:2">
      <c r="A520" s="55"/>
      <c r="B520"/>
    </row>
    <row r="521" spans="1:2">
      <c r="A521" s="55"/>
      <c r="B521"/>
    </row>
    <row r="522" spans="1:2">
      <c r="A522" s="55"/>
      <c r="B522"/>
    </row>
    <row r="523" spans="1:2">
      <c r="A523" s="55"/>
      <c r="B523"/>
    </row>
    <row r="524" spans="1:2">
      <c r="A524" s="55"/>
      <c r="B524"/>
    </row>
    <row r="525" spans="1:2">
      <c r="A525" s="55"/>
      <c r="B525"/>
    </row>
    <row r="526" spans="1:2">
      <c r="A526" s="55"/>
      <c r="B526"/>
    </row>
    <row r="527" spans="1:2">
      <c r="A527" s="55"/>
      <c r="B527"/>
    </row>
    <row r="528" spans="1:2">
      <c r="A528" s="55"/>
      <c r="B528"/>
    </row>
    <row r="529" spans="1:2">
      <c r="A529" s="55"/>
      <c r="B529"/>
    </row>
    <row r="530" spans="1:2">
      <c r="A530" s="55"/>
      <c r="B530"/>
    </row>
    <row r="531" spans="1:2">
      <c r="A531" s="55"/>
      <c r="B531"/>
    </row>
    <row r="532" spans="1:2">
      <c r="A532" s="55"/>
      <c r="B532"/>
    </row>
    <row r="533" spans="1:2">
      <c r="A533" s="55"/>
      <c r="B533"/>
    </row>
    <row r="534" spans="1:2">
      <c r="A534" s="55"/>
      <c r="B534"/>
    </row>
    <row r="535" spans="1:2">
      <c r="A535" s="55"/>
      <c r="B535"/>
    </row>
    <row r="536" spans="1:2">
      <c r="A536" s="55"/>
      <c r="B536"/>
    </row>
    <row r="537" spans="1:2">
      <c r="A537" s="55"/>
      <c r="B537"/>
    </row>
    <row r="538" spans="1:2">
      <c r="A538" s="55"/>
      <c r="B538"/>
    </row>
    <row r="539" spans="1:2">
      <c r="A539" s="55"/>
      <c r="B539"/>
    </row>
    <row r="540" spans="1:2">
      <c r="A540" s="55"/>
      <c r="B540"/>
    </row>
    <row r="541" spans="1:2">
      <c r="A541" s="55"/>
      <c r="B541"/>
    </row>
    <row r="542" spans="1:2">
      <c r="A542" s="55"/>
      <c r="B542"/>
    </row>
    <row r="543" spans="1:2">
      <c r="A543" s="55"/>
      <c r="B543"/>
    </row>
    <row r="544" spans="1:2">
      <c r="A544" s="55"/>
      <c r="B544"/>
    </row>
    <row r="545" spans="1:2">
      <c r="A545" s="55"/>
      <c r="B545"/>
    </row>
    <row r="546" spans="1:2">
      <c r="A546" s="55"/>
      <c r="B546"/>
    </row>
    <row r="547" spans="1:2">
      <c r="A547" s="55"/>
      <c r="B547"/>
    </row>
    <row r="548" spans="1:2">
      <c r="A548" s="55"/>
      <c r="B548"/>
    </row>
    <row r="549" spans="1:2">
      <c r="A549" s="55"/>
      <c r="B549"/>
    </row>
    <row r="550" spans="1:2">
      <c r="A550" s="55"/>
      <c r="B550"/>
    </row>
    <row r="551" spans="1:2">
      <c r="A551" s="55"/>
      <c r="B551"/>
    </row>
    <row r="552" spans="1:2">
      <c r="A552" s="55"/>
      <c r="B552"/>
    </row>
    <row r="553" spans="1:2">
      <c r="A553" s="55"/>
      <c r="B553"/>
    </row>
    <row r="554" spans="1:2">
      <c r="A554" s="55"/>
      <c r="B554"/>
    </row>
    <row r="555" spans="1:2">
      <c r="A555" s="55"/>
      <c r="B555"/>
    </row>
    <row r="556" spans="1:2">
      <c r="A556" s="55"/>
      <c r="B556"/>
    </row>
    <row r="557" spans="1:2">
      <c r="A557" s="55"/>
      <c r="B557"/>
    </row>
    <row r="558" spans="1:2">
      <c r="A558" s="55"/>
      <c r="B558"/>
    </row>
    <row r="559" spans="1:2">
      <c r="A559" s="55"/>
      <c r="B559"/>
    </row>
    <row r="560" spans="1:2">
      <c r="A560" s="55"/>
      <c r="B560"/>
    </row>
    <row r="561" spans="1:2">
      <c r="A561" s="55"/>
      <c r="B561"/>
    </row>
    <row r="562" spans="1:2">
      <c r="A562" s="55"/>
      <c r="B562"/>
    </row>
    <row r="563" spans="1:2">
      <c r="A563" s="55"/>
      <c r="B563"/>
    </row>
    <row r="564" spans="1:2">
      <c r="A564" s="55"/>
      <c r="B564"/>
    </row>
    <row r="565" spans="1:2">
      <c r="A565" s="55"/>
      <c r="B565"/>
    </row>
    <row r="566" spans="1:2">
      <c r="A566" s="55"/>
      <c r="B566"/>
    </row>
    <row r="567" spans="1:2">
      <c r="A567" s="55"/>
      <c r="B567"/>
    </row>
    <row r="568" spans="1:2">
      <c r="A568" s="55"/>
      <c r="B568"/>
    </row>
    <row r="569" spans="1:2">
      <c r="A569" s="55"/>
      <c r="B569"/>
    </row>
    <row r="570" spans="1:2">
      <c r="A570" s="55"/>
      <c r="B570"/>
    </row>
    <row r="571" spans="1:2">
      <c r="A571" s="55"/>
      <c r="B571"/>
    </row>
    <row r="572" spans="1:2">
      <c r="A572" s="55"/>
      <c r="B572"/>
    </row>
    <row r="573" spans="1:2">
      <c r="A573" s="55"/>
      <c r="B573"/>
    </row>
    <row r="574" spans="1:2">
      <c r="A574" s="55"/>
      <c r="B574"/>
    </row>
    <row r="575" spans="1:2">
      <c r="A575" s="55"/>
      <c r="B575"/>
    </row>
    <row r="576" spans="1:2">
      <c r="A576" s="55"/>
      <c r="B576"/>
    </row>
    <row r="577" spans="1:2">
      <c r="A577" s="55"/>
      <c r="B577"/>
    </row>
    <row r="578" spans="1:2">
      <c r="A578" s="55"/>
      <c r="B578"/>
    </row>
    <row r="579" spans="1:2">
      <c r="A579" s="55"/>
      <c r="B579"/>
    </row>
    <row r="580" spans="1:2">
      <c r="A580" s="55"/>
      <c r="B580"/>
    </row>
    <row r="581" spans="1:2">
      <c r="A581" s="55"/>
      <c r="B581"/>
    </row>
    <row r="582" spans="1:2">
      <c r="A582" s="55"/>
      <c r="B582"/>
    </row>
    <row r="583" spans="1:2">
      <c r="A583" s="55"/>
      <c r="B583"/>
    </row>
    <row r="584" spans="1:2">
      <c r="A584" s="55"/>
      <c r="B584"/>
    </row>
    <row r="585" spans="1:2">
      <c r="A585" s="55"/>
      <c r="B585"/>
    </row>
    <row r="586" spans="1:2">
      <c r="A586" s="55"/>
      <c r="B586"/>
    </row>
    <row r="587" spans="1:2">
      <c r="A587" s="55"/>
      <c r="B587"/>
    </row>
    <row r="588" spans="1:2">
      <c r="A588" s="55"/>
      <c r="B588"/>
    </row>
    <row r="589" spans="1:2">
      <c r="A589" s="55"/>
      <c r="B589"/>
    </row>
    <row r="590" spans="1:2">
      <c r="A590" s="55"/>
      <c r="B590"/>
    </row>
    <row r="591" spans="1:2">
      <c r="A591" s="55"/>
      <c r="B591"/>
    </row>
    <row r="592" spans="1:2">
      <c r="A592" s="55"/>
      <c r="B592"/>
    </row>
    <row r="593" spans="1:2">
      <c r="A593" s="55"/>
      <c r="B593"/>
    </row>
    <row r="594" spans="1:2">
      <c r="A594" s="55"/>
      <c r="B594"/>
    </row>
    <row r="595" spans="1:2">
      <c r="A595" s="55"/>
      <c r="B595"/>
    </row>
    <row r="596" spans="1:2">
      <c r="A596" s="55"/>
      <c r="B596"/>
    </row>
    <row r="597" spans="1:2">
      <c r="A597" s="55"/>
      <c r="B597"/>
    </row>
    <row r="598" spans="1:2">
      <c r="A598" s="55"/>
      <c r="B598"/>
    </row>
    <row r="599" spans="1:2">
      <c r="A599" s="55"/>
      <c r="B599"/>
    </row>
    <row r="600" spans="1:2">
      <c r="A600" s="55"/>
      <c r="B600"/>
    </row>
    <row r="601" spans="1:2">
      <c r="A601" s="55"/>
      <c r="B601"/>
    </row>
    <row r="602" spans="1:2">
      <c r="A602" s="55"/>
      <c r="B602"/>
    </row>
    <row r="603" spans="1:2">
      <c r="A603" s="55"/>
      <c r="B603"/>
    </row>
    <row r="604" spans="1:2">
      <c r="A604" s="55"/>
      <c r="B604"/>
    </row>
    <row r="605" spans="1:2">
      <c r="A605" s="55"/>
      <c r="B605"/>
    </row>
    <row r="606" spans="1:2">
      <c r="A606" s="55"/>
      <c r="B606"/>
    </row>
    <row r="607" spans="1:2">
      <c r="A607" s="55"/>
      <c r="B607"/>
    </row>
    <row r="608" spans="1:2">
      <c r="A608" s="55"/>
      <c r="B608"/>
    </row>
    <row r="609" spans="1:2">
      <c r="A609" s="55"/>
      <c r="B609"/>
    </row>
    <row r="610" spans="1:2">
      <c r="A610" s="55"/>
      <c r="B610"/>
    </row>
    <row r="611" spans="1:2">
      <c r="A611" s="55"/>
      <c r="B611"/>
    </row>
    <row r="612" spans="1:2">
      <c r="A612" s="55"/>
      <c r="B612"/>
    </row>
    <row r="613" spans="1:2">
      <c r="A613" s="55"/>
      <c r="B613"/>
    </row>
    <row r="614" spans="1:2">
      <c r="A614" s="55"/>
      <c r="B614"/>
    </row>
    <row r="615" spans="1:2">
      <c r="A615" s="55"/>
      <c r="B615"/>
    </row>
    <row r="616" spans="1:2">
      <c r="A616" s="55"/>
      <c r="B616"/>
    </row>
    <row r="617" spans="1:2">
      <c r="A617" s="55"/>
      <c r="B617"/>
    </row>
    <row r="618" spans="1:2">
      <c r="A618" s="55"/>
      <c r="B618"/>
    </row>
    <row r="619" spans="1:2">
      <c r="A619" s="55"/>
      <c r="B619"/>
    </row>
    <row r="620" spans="1:2">
      <c r="A620" s="55"/>
      <c r="B620"/>
    </row>
    <row r="621" spans="1:2">
      <c r="A621" s="55"/>
      <c r="B621"/>
    </row>
    <row r="622" spans="1:2">
      <c r="A622" s="55"/>
      <c r="B622"/>
    </row>
    <row r="623" spans="1:2">
      <c r="A623" s="55"/>
      <c r="B623"/>
    </row>
    <row r="624" spans="1:2">
      <c r="A624" s="55"/>
      <c r="B624"/>
    </row>
    <row r="625" spans="1:2">
      <c r="A625" s="55"/>
      <c r="B625"/>
    </row>
    <row r="626" spans="1:2">
      <c r="A626" s="55"/>
      <c r="B626"/>
    </row>
    <row r="627" spans="1:2">
      <c r="A627" s="55"/>
      <c r="B627"/>
    </row>
    <row r="628" spans="1:2">
      <c r="A628" s="55"/>
      <c r="B628"/>
    </row>
    <row r="629" spans="1:2">
      <c r="A629" s="55"/>
      <c r="B629"/>
    </row>
    <row r="630" spans="1:2">
      <c r="A630" s="55"/>
      <c r="B630"/>
    </row>
    <row r="631" spans="1:2">
      <c r="A631" s="55"/>
      <c r="B631"/>
    </row>
    <row r="632" spans="1:2">
      <c r="A632" s="55"/>
      <c r="B632"/>
    </row>
    <row r="633" spans="1:2">
      <c r="A633" s="55"/>
      <c r="B633"/>
    </row>
    <row r="634" spans="1:2">
      <c r="A634" s="55"/>
      <c r="B634"/>
    </row>
    <row r="635" spans="1:2">
      <c r="A635" s="55"/>
      <c r="B635"/>
    </row>
    <row r="636" spans="1:2">
      <c r="A636" s="55"/>
      <c r="B636"/>
    </row>
    <row r="637" spans="1:2">
      <c r="A637" s="55"/>
      <c r="B637"/>
    </row>
    <row r="638" spans="1:2">
      <c r="A638" s="55"/>
      <c r="B638"/>
    </row>
    <row r="639" spans="1:2">
      <c r="A639" s="55"/>
      <c r="B639"/>
    </row>
    <row r="640" spans="1:2">
      <c r="A640" s="55"/>
      <c r="B640"/>
    </row>
    <row r="641" spans="1:2">
      <c r="A641" s="55"/>
      <c r="B641"/>
    </row>
    <row r="642" spans="1:2">
      <c r="A642" s="55"/>
      <c r="B642"/>
    </row>
    <row r="643" spans="1:2">
      <c r="A643" s="55"/>
      <c r="B643"/>
    </row>
    <row r="644" spans="1:2">
      <c r="A644" s="55"/>
      <c r="B644"/>
    </row>
    <row r="645" spans="1:2">
      <c r="A645" s="55"/>
      <c r="B645"/>
    </row>
    <row r="646" spans="1:2">
      <c r="A646" s="55"/>
      <c r="B646"/>
    </row>
    <row r="647" spans="1:2">
      <c r="A647" s="55"/>
      <c r="B647"/>
    </row>
    <row r="648" spans="1:2">
      <c r="A648" s="55"/>
      <c r="B648"/>
    </row>
    <row r="649" spans="1:2">
      <c r="A649" s="55"/>
      <c r="B649"/>
    </row>
    <row r="650" spans="1:2">
      <c r="A650" s="55"/>
      <c r="B650"/>
    </row>
    <row r="651" spans="1:2">
      <c r="A651" s="55"/>
      <c r="B651"/>
    </row>
    <row r="652" spans="1:2">
      <c r="A652" s="55"/>
      <c r="B652"/>
    </row>
    <row r="653" spans="1:2">
      <c r="A653" s="55"/>
      <c r="B653"/>
    </row>
    <row r="654" spans="1:2">
      <c r="A654" s="55"/>
      <c r="B654"/>
    </row>
    <row r="655" spans="1:2">
      <c r="A655" s="55"/>
      <c r="B655"/>
    </row>
    <row r="656" spans="1:2">
      <c r="A656" s="55"/>
      <c r="B656"/>
    </row>
    <row r="657" spans="1:2">
      <c r="A657" s="55"/>
      <c r="B657"/>
    </row>
    <row r="658" spans="1:2">
      <c r="A658" s="55"/>
      <c r="B658"/>
    </row>
    <row r="659" spans="1:2">
      <c r="A659" s="55"/>
      <c r="B659"/>
    </row>
    <row r="660" spans="1:2">
      <c r="A660" s="55"/>
      <c r="B660"/>
    </row>
    <row r="661" spans="1:2">
      <c r="A661" s="55"/>
      <c r="B661"/>
    </row>
    <row r="662" spans="1:2">
      <c r="A662" s="55"/>
      <c r="B662"/>
    </row>
    <row r="663" spans="1:2">
      <c r="A663" s="55"/>
      <c r="B663"/>
    </row>
    <row r="664" spans="1:2">
      <c r="A664" s="55"/>
      <c r="B664"/>
    </row>
    <row r="665" spans="1:2">
      <c r="A665" s="55"/>
      <c r="B665"/>
    </row>
    <row r="666" spans="1:2">
      <c r="A666" s="55"/>
      <c r="B666"/>
    </row>
    <row r="667" spans="1:2">
      <c r="A667" s="55"/>
      <c r="B667"/>
    </row>
    <row r="668" spans="1:2">
      <c r="A668" s="55"/>
      <c r="B668"/>
    </row>
    <row r="669" spans="1:2">
      <c r="A669" s="55"/>
      <c r="B669"/>
    </row>
    <row r="670" spans="1:2">
      <c r="A670" s="55"/>
      <c r="B670"/>
    </row>
    <row r="671" spans="1:2">
      <c r="A671" s="55"/>
      <c r="B671"/>
    </row>
    <row r="672" spans="1:2">
      <c r="A672" s="55"/>
      <c r="B672"/>
    </row>
    <row r="673" spans="1:2">
      <c r="A673" s="55"/>
      <c r="B673"/>
    </row>
    <row r="674" spans="1:2">
      <c r="A674" s="55"/>
      <c r="B674"/>
    </row>
    <row r="675" spans="1:2">
      <c r="A675" s="55"/>
      <c r="B675"/>
    </row>
    <row r="676" spans="1:2">
      <c r="A676" s="55"/>
      <c r="B676"/>
    </row>
    <row r="677" spans="1:2">
      <c r="A677" s="55"/>
      <c r="B677"/>
    </row>
    <row r="678" spans="1:2">
      <c r="A678" s="55"/>
      <c r="B678"/>
    </row>
    <row r="679" spans="1:2">
      <c r="A679" s="55"/>
      <c r="B679"/>
    </row>
    <row r="680" spans="1:2">
      <c r="A680" s="55"/>
      <c r="B680"/>
    </row>
    <row r="681" spans="1:2">
      <c r="A681" s="55"/>
      <c r="B681"/>
    </row>
    <row r="682" spans="1:2">
      <c r="A682" s="55"/>
      <c r="B682"/>
    </row>
    <row r="683" spans="1:2">
      <c r="A683" s="55"/>
      <c r="B683"/>
    </row>
    <row r="684" spans="1:2">
      <c r="A684" s="55"/>
      <c r="B684"/>
    </row>
    <row r="685" spans="1:2">
      <c r="A685" s="55"/>
      <c r="B685"/>
    </row>
    <row r="686" spans="1:2">
      <c r="A686" s="55"/>
      <c r="B686"/>
    </row>
    <row r="687" spans="1:2">
      <c r="A687" s="55"/>
      <c r="B687"/>
    </row>
    <row r="688" spans="1:2">
      <c r="A688" s="55"/>
      <c r="B688"/>
    </row>
    <row r="689" spans="1:2">
      <c r="A689" s="55"/>
      <c r="B689"/>
    </row>
    <row r="690" spans="1:2">
      <c r="A690" s="55"/>
      <c r="B690"/>
    </row>
    <row r="691" spans="1:2">
      <c r="A691" s="55"/>
      <c r="B691"/>
    </row>
    <row r="692" spans="1:2">
      <c r="A692" s="55"/>
      <c r="B692"/>
    </row>
    <row r="693" spans="1:2">
      <c r="A693" s="55"/>
      <c r="B693"/>
    </row>
    <row r="694" spans="1:2">
      <c r="A694" s="55"/>
      <c r="B694"/>
    </row>
    <row r="695" spans="1:2">
      <c r="A695" s="55"/>
      <c r="B695"/>
    </row>
    <row r="696" spans="1:2">
      <c r="A696" s="55"/>
      <c r="B696"/>
    </row>
    <row r="697" spans="1:2">
      <c r="A697" s="55"/>
      <c r="B697"/>
    </row>
    <row r="698" spans="1:2">
      <c r="A698" s="55"/>
      <c r="B698"/>
    </row>
    <row r="699" spans="1:2">
      <c r="A699" s="55"/>
      <c r="B699"/>
    </row>
    <row r="700" spans="1:2">
      <c r="A700" s="55"/>
      <c r="B700"/>
    </row>
    <row r="701" spans="1:2">
      <c r="A701" s="55"/>
      <c r="B701"/>
    </row>
    <row r="702" spans="1:2">
      <c r="A702" s="55"/>
      <c r="B702"/>
    </row>
    <row r="703" spans="1:2">
      <c r="A703" s="55"/>
      <c r="B703"/>
    </row>
    <row r="704" spans="1:2">
      <c r="A704" s="55"/>
      <c r="B704"/>
    </row>
    <row r="705" spans="1:2">
      <c r="A705" s="55"/>
      <c r="B705"/>
    </row>
    <row r="706" spans="1:2">
      <c r="A706" s="55"/>
      <c r="B706"/>
    </row>
    <row r="707" spans="1:2">
      <c r="A707" s="55"/>
      <c r="B707"/>
    </row>
    <row r="708" spans="1:2">
      <c r="A708" s="55"/>
      <c r="B708"/>
    </row>
    <row r="709" spans="1:2">
      <c r="A709" s="55"/>
      <c r="B709"/>
    </row>
    <row r="710" spans="1:2">
      <c r="A710" s="55"/>
      <c r="B710"/>
    </row>
    <row r="711" spans="1:2">
      <c r="A711" s="55"/>
      <c r="B711"/>
    </row>
    <row r="712" spans="1:2">
      <c r="A712" s="55"/>
      <c r="B712"/>
    </row>
    <row r="713" spans="1:2">
      <c r="A713" s="55"/>
      <c r="B713"/>
    </row>
    <row r="714" spans="1:2">
      <c r="A714" s="55"/>
      <c r="B714"/>
    </row>
    <row r="715" spans="1:2">
      <c r="A715" s="55"/>
      <c r="B715"/>
    </row>
    <row r="716" spans="1:2">
      <c r="A716" s="55"/>
      <c r="B716"/>
    </row>
    <row r="717" spans="1:2">
      <c r="A717" s="55"/>
      <c r="B717"/>
    </row>
    <row r="718" spans="1:2">
      <c r="A718" s="55"/>
      <c r="B718"/>
    </row>
    <row r="719" spans="1:2">
      <c r="A719" s="55"/>
      <c r="B719"/>
    </row>
    <row r="720" spans="1:2">
      <c r="A720" s="55"/>
      <c r="B720"/>
    </row>
    <row r="721" spans="1:2">
      <c r="A721" s="55"/>
      <c r="B721"/>
    </row>
    <row r="722" spans="1:2">
      <c r="A722" s="55"/>
      <c r="B722"/>
    </row>
    <row r="723" spans="1:2">
      <c r="A723" s="55"/>
      <c r="B723"/>
    </row>
    <row r="724" spans="1:2">
      <c r="A724" s="55"/>
      <c r="B724"/>
    </row>
    <row r="725" spans="1:2">
      <c r="A725" s="55"/>
      <c r="B725"/>
    </row>
    <row r="726" spans="1:2">
      <c r="A726" s="55"/>
      <c r="B726"/>
    </row>
    <row r="727" spans="1:2">
      <c r="A727" s="55"/>
      <c r="B727"/>
    </row>
    <row r="728" spans="1:2">
      <c r="A728" s="55"/>
      <c r="B728"/>
    </row>
    <row r="729" spans="1:2">
      <c r="A729" s="55"/>
      <c r="B729"/>
    </row>
    <row r="730" spans="1:2">
      <c r="A730" s="55"/>
      <c r="B730"/>
    </row>
    <row r="731" spans="1:2">
      <c r="A731" s="55"/>
      <c r="B731"/>
    </row>
    <row r="732" spans="1:2">
      <c r="A732" s="55"/>
      <c r="B732"/>
    </row>
    <row r="733" spans="1:2">
      <c r="A733" s="55"/>
      <c r="B733"/>
    </row>
    <row r="734" spans="1:2">
      <c r="A734" s="55"/>
      <c r="B734"/>
    </row>
    <row r="735" spans="1:2">
      <c r="A735" s="55"/>
      <c r="B735"/>
    </row>
    <row r="736" spans="1:2">
      <c r="A736" s="55"/>
      <c r="B736"/>
    </row>
    <row r="737" spans="1:2">
      <c r="A737" s="55"/>
      <c r="B737"/>
    </row>
    <row r="738" spans="1:2">
      <c r="A738" s="55"/>
      <c r="B738"/>
    </row>
    <row r="739" spans="1:2">
      <c r="A739" s="55"/>
      <c r="B739"/>
    </row>
    <row r="740" spans="1:2">
      <c r="A740" s="55"/>
      <c r="B740"/>
    </row>
    <row r="741" spans="1:2">
      <c r="A741" s="55"/>
      <c r="B741"/>
    </row>
    <row r="742" spans="1:2">
      <c r="A742" s="55"/>
      <c r="B742"/>
    </row>
    <row r="743" spans="1:2">
      <c r="A743" s="55"/>
      <c r="B743"/>
    </row>
    <row r="744" spans="1:2">
      <c r="A744" s="55"/>
      <c r="B744"/>
    </row>
    <row r="745" spans="1:2">
      <c r="A745" s="55"/>
      <c r="B745"/>
    </row>
    <row r="746" spans="1:2">
      <c r="A746" s="55"/>
      <c r="B746"/>
    </row>
    <row r="747" spans="1:2">
      <c r="A747" s="55"/>
      <c r="B747"/>
    </row>
    <row r="748" spans="1:2">
      <c r="A748" s="55"/>
      <c r="B748"/>
    </row>
    <row r="749" spans="1:2">
      <c r="A749" s="55"/>
      <c r="B749"/>
    </row>
    <row r="750" spans="1:2">
      <c r="A750" s="55"/>
      <c r="B750"/>
    </row>
    <row r="751" spans="1:2">
      <c r="A751" s="55"/>
      <c r="B751"/>
    </row>
    <row r="752" spans="1:2">
      <c r="A752" s="55"/>
      <c r="B752"/>
    </row>
    <row r="753" spans="1:2">
      <c r="A753" s="55"/>
      <c r="B753"/>
    </row>
    <row r="754" spans="1:2">
      <c r="A754" s="55"/>
      <c r="B754"/>
    </row>
    <row r="755" spans="1:2">
      <c r="A755" s="55"/>
      <c r="B755"/>
    </row>
    <row r="756" spans="1:2">
      <c r="A756" s="55"/>
      <c r="B756"/>
    </row>
    <row r="757" spans="1:2">
      <c r="A757" s="55"/>
      <c r="B757"/>
    </row>
    <row r="758" spans="1:2">
      <c r="A758" s="55"/>
      <c r="B758"/>
    </row>
    <row r="759" spans="1:2">
      <c r="A759" s="55"/>
      <c r="B759"/>
    </row>
    <row r="760" spans="1:2">
      <c r="A760" s="55"/>
      <c r="B760"/>
    </row>
    <row r="761" spans="1:2">
      <c r="A761" s="55"/>
      <c r="B761"/>
    </row>
    <row r="762" spans="1:2">
      <c r="A762" s="55"/>
      <c r="B762"/>
    </row>
    <row r="763" spans="1:2">
      <c r="A763" s="55"/>
      <c r="B763"/>
    </row>
    <row r="764" spans="1:2">
      <c r="A764" s="55"/>
      <c r="B764"/>
    </row>
    <row r="765" spans="1:2">
      <c r="A765" s="55"/>
      <c r="B765"/>
    </row>
    <row r="766" spans="1:2">
      <c r="A766" s="55"/>
      <c r="B766"/>
    </row>
    <row r="767" spans="1:2">
      <c r="A767" s="55"/>
      <c r="B767"/>
    </row>
    <row r="768" spans="1:2">
      <c r="A768" s="55"/>
      <c r="B768"/>
    </row>
    <row r="769" spans="1:2">
      <c r="A769" s="55"/>
      <c r="B769"/>
    </row>
    <row r="770" spans="1:2">
      <c r="A770" s="55"/>
      <c r="B770"/>
    </row>
    <row r="771" spans="1:2">
      <c r="A771" s="55"/>
      <c r="B771"/>
    </row>
    <row r="772" spans="1:2">
      <c r="A772" s="55"/>
      <c r="B772"/>
    </row>
    <row r="773" spans="1:2">
      <c r="A773" s="55"/>
      <c r="B773"/>
    </row>
    <row r="774" spans="1:2">
      <c r="A774" s="55"/>
      <c r="B774"/>
    </row>
    <row r="775" spans="1:2">
      <c r="A775" s="55"/>
      <c r="B775"/>
    </row>
    <row r="776" spans="1:2">
      <c r="A776" s="55"/>
      <c r="B776"/>
    </row>
    <row r="777" spans="1:2">
      <c r="A777" s="55"/>
      <c r="B777"/>
    </row>
    <row r="778" spans="1:2">
      <c r="A778" s="55"/>
      <c r="B778"/>
    </row>
    <row r="779" spans="1:2">
      <c r="A779" s="55"/>
      <c r="B779"/>
    </row>
    <row r="780" spans="1:2">
      <c r="A780" s="55"/>
      <c r="B780"/>
    </row>
    <row r="781" spans="1:2">
      <c r="A781" s="55"/>
      <c r="B781"/>
    </row>
    <row r="782" spans="1:2">
      <c r="A782" s="55"/>
      <c r="B782"/>
    </row>
    <row r="783" spans="1:2">
      <c r="A783" s="55"/>
      <c r="B783"/>
    </row>
    <row r="784" spans="1:2">
      <c r="A784" s="55"/>
      <c r="B784"/>
    </row>
    <row r="785" spans="1:2">
      <c r="A785" s="55"/>
      <c r="B785"/>
    </row>
    <row r="786" spans="1:2">
      <c r="A786" s="55"/>
      <c r="B786"/>
    </row>
    <row r="787" spans="1:2">
      <c r="A787" s="55"/>
      <c r="B787"/>
    </row>
    <row r="788" spans="1:2">
      <c r="A788" s="55"/>
      <c r="B788"/>
    </row>
    <row r="789" spans="1:2">
      <c r="A789" s="55"/>
      <c r="B789"/>
    </row>
    <row r="790" spans="1:2">
      <c r="A790" s="55"/>
      <c r="B790"/>
    </row>
    <row r="791" spans="1:2">
      <c r="A791" s="55"/>
      <c r="B791"/>
    </row>
    <row r="792" spans="1:2">
      <c r="A792" s="55"/>
      <c r="B792"/>
    </row>
    <row r="793" spans="1:2">
      <c r="A793" s="55"/>
      <c r="B793"/>
    </row>
    <row r="794" spans="1:2">
      <c r="A794" s="55"/>
      <c r="B794"/>
    </row>
    <row r="795" spans="1:2">
      <c r="A795" s="55"/>
      <c r="B795"/>
    </row>
    <row r="796" spans="1:2">
      <c r="A796" s="55"/>
      <c r="B796"/>
    </row>
    <row r="797" spans="1:2">
      <c r="A797" s="55"/>
      <c r="B797"/>
    </row>
    <row r="798" spans="1:2">
      <c r="A798" s="55"/>
      <c r="B798"/>
    </row>
    <row r="799" spans="1:2">
      <c r="A799" s="55"/>
      <c r="B799"/>
    </row>
    <row r="800" spans="1:2">
      <c r="A800" s="55"/>
      <c r="B800"/>
    </row>
    <row r="801" spans="1:2">
      <c r="A801" s="55"/>
      <c r="B801"/>
    </row>
    <row r="802" spans="1:2">
      <c r="A802" s="55"/>
      <c r="B802"/>
    </row>
    <row r="803" spans="1:2">
      <c r="A803" s="55"/>
      <c r="B803"/>
    </row>
    <row r="804" spans="1:2">
      <c r="A804" s="55"/>
      <c r="B804"/>
    </row>
    <row r="805" spans="1:2">
      <c r="A805" s="55"/>
      <c r="B805"/>
    </row>
    <row r="806" spans="1:2">
      <c r="A806" s="55"/>
      <c r="B806"/>
    </row>
    <row r="807" spans="1:2">
      <c r="A807" s="55"/>
      <c r="B807"/>
    </row>
    <row r="808" spans="1:2">
      <c r="A808" s="55"/>
      <c r="B808"/>
    </row>
    <row r="809" spans="1:2">
      <c r="A809" s="55"/>
      <c r="B809"/>
    </row>
    <row r="810" spans="1:2">
      <c r="A810" s="55"/>
      <c r="B810"/>
    </row>
    <row r="811" spans="1:2">
      <c r="A811" s="55"/>
      <c r="B811"/>
    </row>
    <row r="812" spans="1:2">
      <c r="A812" s="55"/>
      <c r="B812"/>
    </row>
    <row r="813" spans="1:2">
      <c r="A813" s="55"/>
      <c r="B813"/>
    </row>
    <row r="814" spans="1:2">
      <c r="A814" s="55"/>
      <c r="B814"/>
    </row>
    <row r="815" spans="1:2">
      <c r="A815" s="55"/>
      <c r="B815"/>
    </row>
    <row r="816" spans="1:2">
      <c r="A816" s="55"/>
      <c r="B816"/>
    </row>
    <row r="817" spans="1:2">
      <c r="A817" s="55"/>
      <c r="B817"/>
    </row>
    <row r="818" spans="1:2">
      <c r="A818" s="55"/>
      <c r="B818"/>
    </row>
    <row r="819" spans="1:2">
      <c r="A819" s="55"/>
      <c r="B819"/>
    </row>
    <row r="820" spans="1:2">
      <c r="A820" s="55"/>
      <c r="B820"/>
    </row>
    <row r="821" spans="1:2">
      <c r="A821" s="55"/>
      <c r="B821"/>
    </row>
    <row r="822" spans="1:2">
      <c r="A822" s="55"/>
      <c r="B822"/>
    </row>
    <row r="823" spans="1:2">
      <c r="A823" s="55"/>
      <c r="B823"/>
    </row>
    <row r="824" spans="1:2">
      <c r="A824" s="55"/>
      <c r="B824"/>
    </row>
    <row r="825" spans="1:2">
      <c r="A825" s="55"/>
      <c r="B825"/>
    </row>
    <row r="826" spans="1:2">
      <c r="A826" s="55"/>
      <c r="B826"/>
    </row>
    <row r="827" spans="1:2">
      <c r="A827" s="55"/>
      <c r="B827"/>
    </row>
    <row r="828" spans="1:2">
      <c r="A828" s="55"/>
      <c r="B828"/>
    </row>
    <row r="829" spans="1:2">
      <c r="A829" s="55"/>
      <c r="B829"/>
    </row>
    <row r="830" spans="1:2">
      <c r="A830" s="55"/>
      <c r="B830"/>
    </row>
    <row r="831" spans="1:2">
      <c r="A831" s="55"/>
      <c r="B831"/>
    </row>
    <row r="832" spans="1:2">
      <c r="A832" s="55"/>
      <c r="B832"/>
    </row>
    <row r="833" spans="1:2">
      <c r="A833" s="55"/>
      <c r="B833"/>
    </row>
    <row r="834" spans="1:2">
      <c r="A834" s="55"/>
      <c r="B834"/>
    </row>
    <row r="835" spans="1:2">
      <c r="A835" s="55"/>
      <c r="B835"/>
    </row>
    <row r="836" spans="1:2">
      <c r="A836" s="55"/>
      <c r="B836"/>
    </row>
    <row r="837" spans="1:2">
      <c r="A837" s="55"/>
      <c r="B837"/>
    </row>
    <row r="838" spans="1:2">
      <c r="A838" s="55"/>
      <c r="B838"/>
    </row>
    <row r="839" spans="1:2">
      <c r="A839" s="55"/>
      <c r="B839"/>
    </row>
    <row r="840" spans="1:2">
      <c r="A840" s="55"/>
      <c r="B840"/>
    </row>
    <row r="841" spans="1:2">
      <c r="A841" s="55"/>
      <c r="B841"/>
    </row>
    <row r="842" spans="1:2">
      <c r="A842" s="55"/>
      <c r="B842"/>
    </row>
    <row r="843" spans="1:2">
      <c r="A843" s="55"/>
      <c r="B843"/>
    </row>
    <row r="844" spans="1:2">
      <c r="A844" s="55"/>
      <c r="B844"/>
    </row>
    <row r="845" spans="1:2">
      <c r="A845" s="55"/>
      <c r="B845"/>
    </row>
    <row r="846" spans="1:2">
      <c r="A846" s="55"/>
      <c r="B846"/>
    </row>
    <row r="847" spans="1:2">
      <c r="A847" s="55"/>
      <c r="B847"/>
    </row>
    <row r="848" spans="1:2">
      <c r="A848" s="55"/>
      <c r="B848"/>
    </row>
    <row r="849" spans="1:2">
      <c r="A849" s="55"/>
      <c r="B849"/>
    </row>
    <row r="850" spans="1:2">
      <c r="A850" s="55"/>
      <c r="B850"/>
    </row>
    <row r="851" spans="1:2">
      <c r="A851" s="55"/>
      <c r="B851"/>
    </row>
    <row r="852" spans="1:2">
      <c r="A852" s="55"/>
      <c r="B852"/>
    </row>
    <row r="853" spans="1:2">
      <c r="A853" s="55"/>
      <c r="B853"/>
    </row>
    <row r="854" spans="1:2">
      <c r="A854" s="55"/>
      <c r="B854"/>
    </row>
    <row r="855" spans="1:2">
      <c r="A855" s="55"/>
      <c r="B855"/>
    </row>
    <row r="856" spans="1:2">
      <c r="A856" s="55"/>
      <c r="B856"/>
    </row>
    <row r="857" spans="1:2">
      <c r="A857" s="55"/>
      <c r="B857"/>
    </row>
    <row r="858" spans="1:2">
      <c r="A858" s="55"/>
      <c r="B858"/>
    </row>
    <row r="859" spans="1:2">
      <c r="A859" s="55"/>
      <c r="B859"/>
    </row>
    <row r="860" spans="1:2">
      <c r="A860" s="55"/>
      <c r="B860"/>
    </row>
    <row r="861" spans="1:2">
      <c r="A861" s="55"/>
      <c r="B861"/>
    </row>
    <row r="862" spans="1:2">
      <c r="A862" s="55"/>
      <c r="B862"/>
    </row>
    <row r="863" spans="1:2">
      <c r="A863" s="55"/>
      <c r="B863"/>
    </row>
    <row r="864" spans="1:2">
      <c r="A864" s="55"/>
      <c r="B864"/>
    </row>
    <row r="865" spans="1:2">
      <c r="A865" s="55"/>
      <c r="B865"/>
    </row>
    <row r="866" spans="1:2">
      <c r="A866" s="55"/>
      <c r="B866"/>
    </row>
    <row r="867" spans="1:2">
      <c r="A867" s="55"/>
      <c r="B867"/>
    </row>
    <row r="868" spans="1:2">
      <c r="A868" s="55"/>
      <c r="B868"/>
    </row>
    <row r="869" spans="1:2">
      <c r="A869" s="55"/>
      <c r="B869"/>
    </row>
    <row r="870" spans="1:2">
      <c r="A870" s="55"/>
      <c r="B870"/>
    </row>
    <row r="871" spans="1:2">
      <c r="A871" s="55"/>
      <c r="B871"/>
    </row>
    <row r="872" spans="1:2">
      <c r="A872" s="55"/>
      <c r="B872"/>
    </row>
    <row r="873" spans="1:2">
      <c r="A873" s="55"/>
      <c r="B873"/>
    </row>
    <row r="874" spans="1:2">
      <c r="A874" s="55"/>
      <c r="B874"/>
    </row>
    <row r="875" spans="1:2">
      <c r="A875" s="55"/>
      <c r="B875"/>
    </row>
    <row r="876" spans="1:2">
      <c r="A876" s="55"/>
      <c r="B876"/>
    </row>
    <row r="877" spans="1:2">
      <c r="A877" s="55"/>
      <c r="B877"/>
    </row>
    <row r="878" spans="1:2">
      <c r="A878" s="55"/>
      <c r="B878"/>
    </row>
    <row r="879" spans="1:2">
      <c r="A879" s="55"/>
      <c r="B879"/>
    </row>
    <row r="880" spans="1:2">
      <c r="A880" s="55"/>
      <c r="B880"/>
    </row>
    <row r="881" spans="1:2">
      <c r="A881" s="55"/>
      <c r="B881"/>
    </row>
    <row r="882" spans="1:2">
      <c r="A882" s="55"/>
      <c r="B882"/>
    </row>
    <row r="883" spans="1:2">
      <c r="A883" s="55"/>
      <c r="B883"/>
    </row>
    <row r="884" spans="1:2">
      <c r="A884" s="55"/>
      <c r="B884"/>
    </row>
    <row r="885" spans="1:2">
      <c r="A885" s="55"/>
      <c r="B885"/>
    </row>
    <row r="886" spans="1:2">
      <c r="A886" s="55"/>
      <c r="B886"/>
    </row>
    <row r="887" spans="1:2">
      <c r="A887" s="55"/>
      <c r="B887"/>
    </row>
    <row r="888" spans="1:2">
      <c r="A888" s="55"/>
      <c r="B888"/>
    </row>
    <row r="889" spans="1:2">
      <c r="A889" s="55"/>
      <c r="B889"/>
    </row>
    <row r="890" spans="1:2">
      <c r="A890" s="55"/>
      <c r="B890"/>
    </row>
    <row r="891" spans="1:2">
      <c r="A891" s="55"/>
      <c r="B891"/>
    </row>
    <row r="892" spans="1:2">
      <c r="A892" s="55"/>
      <c r="B892"/>
    </row>
    <row r="893" spans="1:2">
      <c r="A893" s="55"/>
      <c r="B893"/>
    </row>
    <row r="894" spans="1:2">
      <c r="A894" s="55"/>
      <c r="B894"/>
    </row>
    <row r="895" spans="1:2">
      <c r="A895" s="55"/>
      <c r="B895"/>
    </row>
    <row r="896" spans="1:2">
      <c r="A896" s="55"/>
      <c r="B896"/>
    </row>
    <row r="897" spans="1:2">
      <c r="A897" s="55"/>
      <c r="B897"/>
    </row>
    <row r="898" spans="1:2">
      <c r="A898" s="55"/>
      <c r="B898"/>
    </row>
    <row r="899" spans="1:2">
      <c r="A899" s="55"/>
      <c r="B899"/>
    </row>
    <row r="900" spans="1:2">
      <c r="A900" s="55"/>
      <c r="B900"/>
    </row>
    <row r="901" spans="1:2">
      <c r="A901" s="55"/>
      <c r="B901"/>
    </row>
    <row r="902" spans="1:2">
      <c r="A902" s="55"/>
      <c r="B902"/>
    </row>
    <row r="903" spans="1:2">
      <c r="A903" s="55"/>
      <c r="B903"/>
    </row>
    <row r="904" spans="1:2">
      <c r="A904" s="55"/>
      <c r="B904"/>
    </row>
    <row r="905" spans="1:2">
      <c r="A905" s="55"/>
      <c r="B905"/>
    </row>
    <row r="906" spans="1:2">
      <c r="A906" s="55"/>
      <c r="B906"/>
    </row>
    <row r="907" spans="1:2">
      <c r="A907" s="55"/>
      <c r="B907"/>
    </row>
    <row r="908" spans="1:2">
      <c r="A908" s="55"/>
      <c r="B908"/>
    </row>
    <row r="909" spans="1:2">
      <c r="A909" s="55"/>
      <c r="B909"/>
    </row>
    <row r="910" spans="1:2">
      <c r="A910" s="55"/>
      <c r="B910"/>
    </row>
    <row r="911" spans="1:2">
      <c r="A911" s="55"/>
      <c r="B911"/>
    </row>
    <row r="912" spans="1:2">
      <c r="A912" s="55"/>
      <c r="B912"/>
    </row>
    <row r="913" spans="1:2">
      <c r="A913" s="55"/>
      <c r="B913"/>
    </row>
    <row r="914" spans="1:2">
      <c r="A914" s="55"/>
      <c r="B914"/>
    </row>
    <row r="915" spans="1:2">
      <c r="A915" s="55"/>
      <c r="B915"/>
    </row>
    <row r="916" spans="1:2">
      <c r="A916" s="55"/>
      <c r="B916"/>
    </row>
    <row r="917" spans="1:2">
      <c r="A917" s="55"/>
      <c r="B917"/>
    </row>
    <row r="918" spans="1:2">
      <c r="A918" s="55"/>
      <c r="B918"/>
    </row>
    <row r="919" spans="1:2">
      <c r="A919" s="55"/>
      <c r="B919"/>
    </row>
    <row r="920" spans="1:2">
      <c r="A920" s="55"/>
      <c r="B920"/>
    </row>
    <row r="921" spans="1:2">
      <c r="A921" s="55"/>
      <c r="B921"/>
    </row>
    <row r="922" spans="1:2">
      <c r="A922" s="55"/>
      <c r="B922"/>
    </row>
    <row r="923" spans="1:2">
      <c r="A923" s="55"/>
      <c r="B923"/>
    </row>
    <row r="924" spans="1:2">
      <c r="A924" s="55"/>
      <c r="B924"/>
    </row>
    <row r="925" spans="1:2">
      <c r="A925" s="55"/>
      <c r="B925"/>
    </row>
    <row r="926" spans="1:2">
      <c r="A926" s="55"/>
      <c r="B926"/>
    </row>
    <row r="927" spans="1:2">
      <c r="A927" s="55"/>
      <c r="B927"/>
    </row>
    <row r="928" spans="1:2">
      <c r="A928" s="55"/>
      <c r="B928"/>
    </row>
    <row r="929" spans="1:2">
      <c r="A929" s="55"/>
      <c r="B929"/>
    </row>
    <row r="930" spans="1:2">
      <c r="A930" s="55"/>
      <c r="B930"/>
    </row>
    <row r="931" spans="1:2">
      <c r="A931" s="55"/>
      <c r="B931"/>
    </row>
    <row r="932" spans="1:2">
      <c r="A932" s="55"/>
      <c r="B932"/>
    </row>
    <row r="933" spans="1:2">
      <c r="A933" s="55"/>
      <c r="B933"/>
    </row>
    <row r="934" spans="1:2">
      <c r="A934" s="55"/>
      <c r="B934"/>
    </row>
    <row r="935" spans="1:2">
      <c r="A935" s="55"/>
      <c r="B935"/>
    </row>
    <row r="936" spans="1:2">
      <c r="A936" s="55"/>
      <c r="B936"/>
    </row>
    <row r="937" spans="1:2">
      <c r="A937" s="55"/>
      <c r="B937"/>
    </row>
    <row r="938" spans="1:2">
      <c r="A938" s="55"/>
      <c r="B938"/>
    </row>
    <row r="939" spans="1:2">
      <c r="A939" s="55"/>
      <c r="B939"/>
    </row>
    <row r="940" spans="1:2">
      <c r="A940" s="55"/>
      <c r="B940"/>
    </row>
    <row r="941" spans="1:2">
      <c r="A941" s="55"/>
      <c r="B941"/>
    </row>
    <row r="942" spans="1:2">
      <c r="A942" s="55"/>
      <c r="B942"/>
    </row>
    <row r="943" spans="1:2">
      <c r="A943" s="55"/>
      <c r="B943"/>
    </row>
    <row r="944" spans="1:2">
      <c r="A944" s="55"/>
      <c r="B944"/>
    </row>
    <row r="945" spans="1:2">
      <c r="A945" s="55"/>
      <c r="B945"/>
    </row>
    <row r="946" spans="1:2">
      <c r="A946" s="55"/>
      <c r="B946"/>
    </row>
    <row r="947" spans="1:2">
      <c r="A947" s="55"/>
      <c r="B947"/>
    </row>
    <row r="948" spans="1:2">
      <c r="A948" s="55"/>
      <c r="B948"/>
    </row>
    <row r="949" spans="1:2">
      <c r="A949" s="55"/>
      <c r="B949"/>
    </row>
    <row r="950" spans="1:2">
      <c r="A950" s="55"/>
      <c r="B950"/>
    </row>
    <row r="951" spans="1:2">
      <c r="A951" s="55"/>
      <c r="B951"/>
    </row>
    <row r="952" spans="1:2">
      <c r="A952" s="55"/>
      <c r="B952"/>
    </row>
    <row r="953" spans="1:2">
      <c r="A953" s="55"/>
      <c r="B953"/>
    </row>
    <row r="954" spans="1:2">
      <c r="A954" s="55"/>
      <c r="B954"/>
    </row>
    <row r="955" spans="1:2">
      <c r="A955" s="55"/>
      <c r="B955"/>
    </row>
    <row r="956" spans="1:2">
      <c r="A956" s="55"/>
      <c r="B956"/>
    </row>
    <row r="957" spans="1:2">
      <c r="A957" s="55"/>
      <c r="B957"/>
    </row>
    <row r="958" spans="1:2">
      <c r="A958" s="55"/>
      <c r="B958"/>
    </row>
    <row r="959" spans="1:2">
      <c r="A959" s="55"/>
      <c r="B959"/>
    </row>
    <row r="960" spans="1:2">
      <c r="A960" s="55"/>
      <c r="B960"/>
    </row>
    <row r="961" spans="1:2">
      <c r="A961" s="55"/>
      <c r="B961"/>
    </row>
    <row r="962" spans="1:2">
      <c r="A962" s="55"/>
      <c r="B962"/>
    </row>
    <row r="963" spans="1:2">
      <c r="A963" s="55"/>
      <c r="B963"/>
    </row>
    <row r="964" spans="1:2">
      <c r="A964" s="55"/>
      <c r="B964"/>
    </row>
    <row r="965" spans="1:2">
      <c r="A965" s="55"/>
      <c r="B965"/>
    </row>
    <row r="966" spans="1:2">
      <c r="A966" s="55"/>
      <c r="B966"/>
    </row>
    <row r="967" spans="1:2">
      <c r="A967" s="55"/>
      <c r="B967"/>
    </row>
    <row r="968" spans="1:2">
      <c r="A968" s="55"/>
      <c r="B968"/>
    </row>
    <row r="969" spans="1:2">
      <c r="A969" s="55"/>
      <c r="B969"/>
    </row>
    <row r="970" spans="1:2">
      <c r="A970" s="55"/>
      <c r="B970"/>
    </row>
    <row r="971" spans="1:2">
      <c r="A971" s="55"/>
      <c r="B971"/>
    </row>
    <row r="972" spans="1:2">
      <c r="A972" s="55"/>
      <c r="B972"/>
    </row>
    <row r="973" spans="1:2">
      <c r="A973" s="55"/>
      <c r="B973"/>
    </row>
    <row r="974" spans="1:2">
      <c r="A974" s="55"/>
      <c r="B974"/>
    </row>
    <row r="975" spans="1:2">
      <c r="A975" s="55"/>
      <c r="B975"/>
    </row>
    <row r="976" spans="1:2">
      <c r="A976" s="55"/>
      <c r="B976"/>
    </row>
    <row r="977" spans="1:2">
      <c r="A977" s="55"/>
      <c r="B977"/>
    </row>
    <row r="978" spans="1:2">
      <c r="A978" s="55"/>
      <c r="B978"/>
    </row>
    <row r="979" spans="1:2">
      <c r="A979" s="55"/>
      <c r="B979"/>
    </row>
    <row r="980" spans="1:2">
      <c r="A980" s="55"/>
      <c r="B980"/>
    </row>
    <row r="981" spans="1:2">
      <c r="A981" s="55"/>
      <c r="B981"/>
    </row>
    <row r="982" spans="1:2">
      <c r="A982" s="55"/>
      <c r="B982"/>
    </row>
    <row r="983" spans="1:2">
      <c r="A983" s="55"/>
      <c r="B983"/>
    </row>
    <row r="984" spans="1:2">
      <c r="A984" s="55"/>
      <c r="B984"/>
    </row>
    <row r="985" spans="1:2">
      <c r="A985" s="55"/>
      <c r="B985"/>
    </row>
    <row r="986" spans="1:2">
      <c r="A986" s="55"/>
      <c r="B986"/>
    </row>
    <row r="987" spans="1:2">
      <c r="A987" s="55"/>
      <c r="B987"/>
    </row>
    <row r="988" spans="1:2">
      <c r="A988" s="55"/>
      <c r="B988"/>
    </row>
    <row r="989" spans="1:2">
      <c r="A989" s="55"/>
      <c r="B989"/>
    </row>
    <row r="990" spans="1:2">
      <c r="A990" s="55"/>
      <c r="B990"/>
    </row>
    <row r="991" spans="1:2">
      <c r="A991" s="55"/>
      <c r="B991"/>
    </row>
    <row r="992" spans="1:2">
      <c r="A992" s="55"/>
      <c r="B992"/>
    </row>
    <row r="993" spans="1:2">
      <c r="A993" s="55"/>
      <c r="B993"/>
    </row>
    <row r="994" spans="1:2">
      <c r="A994" s="55"/>
      <c r="B994"/>
    </row>
    <row r="995" spans="1:2">
      <c r="A995" s="55"/>
      <c r="B995"/>
    </row>
    <row r="996" spans="1:2">
      <c r="A996" s="55"/>
      <c r="B996"/>
    </row>
    <row r="997" spans="1:2">
      <c r="A997" s="55"/>
      <c r="B997"/>
    </row>
    <row r="998" spans="1:2">
      <c r="A998" s="55"/>
      <c r="B998"/>
    </row>
    <row r="999" spans="1:2">
      <c r="A999" s="55"/>
      <c r="B999"/>
    </row>
    <row r="1000" spans="1:2">
      <c r="A1000" s="55"/>
      <c r="B1000"/>
    </row>
    <row r="1001" spans="1:2">
      <c r="A1001" s="55"/>
      <c r="B1001"/>
    </row>
    <row r="1002" spans="1:2">
      <c r="A1002" s="55"/>
      <c r="B1002"/>
    </row>
    <row r="1003" spans="1:2">
      <c r="A1003" s="55"/>
      <c r="B1003"/>
    </row>
    <row r="1004" spans="1:2">
      <c r="A1004" s="55"/>
      <c r="B1004"/>
    </row>
    <row r="1005" spans="1:2">
      <c r="A1005" s="55"/>
      <c r="B1005"/>
    </row>
    <row r="1006" spans="1:2">
      <c r="A1006" s="55"/>
      <c r="B1006"/>
    </row>
    <row r="1007" spans="1:2">
      <c r="A1007" s="55"/>
      <c r="B1007"/>
    </row>
    <row r="1008" spans="1:2">
      <c r="A1008" s="55"/>
      <c r="B1008"/>
    </row>
    <row r="1009" spans="1:2">
      <c r="A1009" s="55"/>
      <c r="B1009"/>
    </row>
    <row r="1010" spans="1:2">
      <c r="A1010" s="55"/>
      <c r="B1010"/>
    </row>
    <row r="1011" spans="1:2">
      <c r="A1011" s="55"/>
      <c r="B1011"/>
    </row>
    <row r="1012" spans="1:2">
      <c r="A1012" s="55"/>
      <c r="B1012"/>
    </row>
    <row r="1013" spans="1:2">
      <c r="A1013" s="55"/>
      <c r="B1013"/>
    </row>
    <row r="1014" spans="1:2">
      <c r="A1014" s="55"/>
      <c r="B1014"/>
    </row>
    <row r="1015" spans="1:2">
      <c r="A1015" s="55"/>
      <c r="B1015"/>
    </row>
    <row r="1016" spans="1:2">
      <c r="A1016" s="55"/>
      <c r="B1016"/>
    </row>
    <row r="1017" spans="1:2">
      <c r="A1017" s="55"/>
      <c r="B1017"/>
    </row>
    <row r="1018" spans="1:2">
      <c r="A1018" s="55"/>
      <c r="B1018"/>
    </row>
    <row r="1019" spans="1:2">
      <c r="A1019" s="55"/>
      <c r="B1019"/>
    </row>
    <row r="1020" spans="1:2">
      <c r="A1020" s="55"/>
      <c r="B1020"/>
    </row>
    <row r="1021" spans="1:2">
      <c r="A1021" s="55"/>
      <c r="B1021"/>
    </row>
    <row r="1022" spans="1:2">
      <c r="A1022" s="55"/>
      <c r="B1022"/>
    </row>
    <row r="1023" spans="1:2">
      <c r="A1023" s="55"/>
      <c r="B1023"/>
    </row>
    <row r="1024" spans="1:2">
      <c r="A1024" s="55"/>
      <c r="B1024"/>
    </row>
    <row r="1025" spans="1:2">
      <c r="A1025" s="55"/>
      <c r="B1025"/>
    </row>
    <row r="1026" spans="1:2">
      <c r="A1026" s="55"/>
      <c r="B1026"/>
    </row>
    <row r="1027" spans="1:2">
      <c r="A1027" s="55"/>
      <c r="B1027"/>
    </row>
    <row r="1028" spans="1:2">
      <c r="A1028" s="55"/>
      <c r="B1028"/>
    </row>
    <row r="1029" spans="1:2">
      <c r="A1029" s="55"/>
      <c r="B1029"/>
    </row>
    <row r="1030" spans="1:2">
      <c r="A1030" s="55"/>
      <c r="B1030"/>
    </row>
    <row r="1031" spans="1:2">
      <c r="A1031" s="55"/>
      <c r="B1031"/>
    </row>
    <row r="1032" spans="1:2">
      <c r="A1032" s="55"/>
      <c r="B1032"/>
    </row>
    <row r="1033" spans="1:2">
      <c r="A1033" s="55"/>
      <c r="B1033"/>
    </row>
    <row r="1034" spans="1:2">
      <c r="A1034" s="55"/>
      <c r="B1034"/>
    </row>
    <row r="1035" spans="1:2">
      <c r="A1035" s="55"/>
      <c r="B1035"/>
    </row>
    <row r="1036" spans="1:2">
      <c r="A1036" s="55"/>
      <c r="B1036"/>
    </row>
    <row r="1037" spans="1:2">
      <c r="A1037" s="55"/>
      <c r="B1037"/>
    </row>
    <row r="1038" spans="1:2">
      <c r="A1038" s="55"/>
      <c r="B1038"/>
    </row>
    <row r="1039" spans="1:2">
      <c r="A1039" s="55"/>
      <c r="B1039"/>
    </row>
    <row r="1040" spans="1:2">
      <c r="A1040" s="55"/>
      <c r="B1040"/>
    </row>
    <row r="1041" spans="1:2">
      <c r="A1041" s="55"/>
      <c r="B1041"/>
    </row>
    <row r="1042" spans="1:2">
      <c r="A1042" s="55"/>
      <c r="B1042"/>
    </row>
    <row r="1043" spans="1:2">
      <c r="A1043" s="55"/>
      <c r="B1043"/>
    </row>
    <row r="1044" spans="1:2">
      <c r="A1044" s="55"/>
      <c r="B1044"/>
    </row>
    <row r="1045" spans="1:2">
      <c r="A1045" s="55"/>
      <c r="B1045"/>
    </row>
    <row r="1046" spans="1:2">
      <c r="A1046" s="55"/>
      <c r="B1046"/>
    </row>
    <row r="1047" spans="1:2">
      <c r="A1047" s="55"/>
      <c r="B1047"/>
    </row>
    <row r="1048" spans="1:2">
      <c r="A1048" s="55"/>
      <c r="B1048"/>
    </row>
    <row r="1049" spans="1:2">
      <c r="A1049" s="55"/>
      <c r="B1049"/>
    </row>
    <row r="1050" spans="1:2">
      <c r="A1050" s="55"/>
      <c r="B1050"/>
    </row>
    <row r="1051" spans="1:2">
      <c r="A1051" s="55"/>
      <c r="B1051"/>
    </row>
    <row r="1052" spans="1:2">
      <c r="A1052" s="55"/>
      <c r="B1052"/>
    </row>
    <row r="1053" spans="1:2">
      <c r="A1053" s="55"/>
      <c r="B1053"/>
    </row>
    <row r="1054" spans="1:2">
      <c r="A1054" s="55"/>
      <c r="B1054"/>
    </row>
    <row r="1055" spans="1:2">
      <c r="A1055" s="55"/>
      <c r="B1055"/>
    </row>
    <row r="1056" spans="1:2">
      <c r="A1056" s="55"/>
      <c r="B1056"/>
    </row>
    <row r="1057" spans="1:2">
      <c r="A1057" s="55"/>
      <c r="B1057"/>
    </row>
    <row r="1058" spans="1:2">
      <c r="A1058" s="55"/>
      <c r="B1058"/>
    </row>
    <row r="1059" spans="1:2">
      <c r="A1059" s="55"/>
      <c r="B1059"/>
    </row>
    <row r="1060" spans="1:2">
      <c r="A1060" s="55"/>
      <c r="B1060"/>
    </row>
    <row r="1061" spans="1:2">
      <c r="A1061" s="55"/>
      <c r="B1061"/>
    </row>
    <row r="1062" spans="1:2">
      <c r="A1062" s="55"/>
      <c r="B1062"/>
    </row>
    <row r="1063" spans="1:2">
      <c r="A1063" s="55"/>
      <c r="B1063"/>
    </row>
    <row r="1064" spans="1:2">
      <c r="A1064" s="55"/>
      <c r="B1064"/>
    </row>
    <row r="1065" spans="1:2">
      <c r="A1065" s="55"/>
      <c r="B1065"/>
    </row>
    <row r="1066" spans="1:2">
      <c r="A1066" s="55"/>
      <c r="B1066"/>
    </row>
    <row r="1067" spans="1:2">
      <c r="A1067" s="55"/>
      <c r="B1067"/>
    </row>
    <row r="1068" spans="1:2">
      <c r="A1068" s="55"/>
      <c r="B1068"/>
    </row>
    <row r="1069" spans="1:2">
      <c r="A1069" s="55"/>
      <c r="B1069"/>
    </row>
    <row r="1070" spans="1:2">
      <c r="A1070" s="55"/>
      <c r="B1070"/>
    </row>
    <row r="1071" spans="1:2">
      <c r="A1071" s="55"/>
      <c r="B1071"/>
    </row>
    <row r="1072" spans="1:2">
      <c r="A1072" s="55"/>
      <c r="B1072"/>
    </row>
    <row r="1073" spans="1:2">
      <c r="A1073" s="55"/>
      <c r="B1073"/>
    </row>
    <row r="1074" spans="1:2">
      <c r="A1074" s="55"/>
      <c r="B1074"/>
    </row>
    <row r="1075" spans="1:2">
      <c r="A1075" s="55"/>
      <c r="B1075"/>
    </row>
    <row r="1076" spans="1:2">
      <c r="A1076" s="55"/>
      <c r="B1076"/>
    </row>
    <row r="1077" spans="1:2">
      <c r="A1077" s="55"/>
      <c r="B1077"/>
    </row>
    <row r="1078" spans="1:2">
      <c r="A1078" s="55"/>
      <c r="B1078"/>
    </row>
    <row r="1079" spans="1:2">
      <c r="A1079" s="55"/>
      <c r="B1079"/>
    </row>
    <row r="1080" spans="1:2">
      <c r="A1080" s="55"/>
      <c r="B1080"/>
    </row>
    <row r="1081" spans="1:2">
      <c r="A1081" s="55"/>
      <c r="B1081"/>
    </row>
    <row r="1082" spans="1:2">
      <c r="A1082" s="55"/>
      <c r="B1082"/>
    </row>
    <row r="1083" spans="1:2">
      <c r="A1083" s="55"/>
      <c r="B1083"/>
    </row>
    <row r="1084" spans="1:2">
      <c r="A1084" s="55"/>
      <c r="B1084"/>
    </row>
    <row r="1085" spans="1:2">
      <c r="A1085" s="55"/>
      <c r="B1085"/>
    </row>
    <row r="1086" spans="1:2">
      <c r="A1086" s="55"/>
      <c r="B1086"/>
    </row>
    <row r="1087" spans="1:2">
      <c r="A1087" s="55"/>
      <c r="B1087"/>
    </row>
    <row r="1088" spans="1:2">
      <c r="A1088" s="55"/>
      <c r="B1088"/>
    </row>
    <row r="1089" spans="1:2">
      <c r="A1089" s="55"/>
      <c r="B1089"/>
    </row>
    <row r="1090" spans="1:2">
      <c r="A1090" s="55"/>
      <c r="B1090"/>
    </row>
    <row r="1091" spans="1:2">
      <c r="A1091" s="55"/>
      <c r="B1091"/>
    </row>
    <row r="1092" spans="1:2">
      <c r="A1092" s="55"/>
      <c r="B1092"/>
    </row>
    <row r="1093" spans="1:2">
      <c r="A1093" s="55"/>
      <c r="B1093"/>
    </row>
    <row r="1094" spans="1:2">
      <c r="A1094" s="55"/>
      <c r="B1094"/>
    </row>
    <row r="1095" spans="1:2">
      <c r="A1095" s="55"/>
      <c r="B1095"/>
    </row>
    <row r="1096" spans="1:2">
      <c r="A1096" s="55"/>
      <c r="B1096"/>
    </row>
    <row r="1097" spans="1:2">
      <c r="A1097" s="55"/>
      <c r="B1097"/>
    </row>
    <row r="1098" spans="1:2">
      <c r="A1098" s="55"/>
      <c r="B1098"/>
    </row>
    <row r="1099" spans="1:2">
      <c r="A1099" s="55"/>
      <c r="B1099"/>
    </row>
    <row r="1100" spans="1:2">
      <c r="A1100" s="55"/>
      <c r="B1100"/>
    </row>
    <row r="1101" spans="1:2">
      <c r="A1101" s="55"/>
      <c r="B1101"/>
    </row>
    <row r="1102" spans="1:2">
      <c r="A1102" s="55"/>
      <c r="B1102"/>
    </row>
    <row r="1103" spans="1:2">
      <c r="A1103" s="55"/>
      <c r="B1103"/>
    </row>
    <row r="1104" spans="1:2">
      <c r="A1104" s="55"/>
      <c r="B1104"/>
    </row>
    <row r="1105" spans="1:2">
      <c r="A1105" s="55"/>
      <c r="B1105"/>
    </row>
    <row r="1106" spans="1:2">
      <c r="A1106" s="55"/>
      <c r="B1106"/>
    </row>
    <row r="1107" spans="1:2">
      <c r="A1107" s="55"/>
      <c r="B1107"/>
    </row>
    <row r="1108" spans="1:2">
      <c r="A1108" s="55"/>
      <c r="B1108"/>
    </row>
    <row r="1109" spans="1:2">
      <c r="A1109" s="55"/>
      <c r="B1109"/>
    </row>
    <row r="1110" spans="1:2">
      <c r="A1110" s="55"/>
      <c r="B1110"/>
    </row>
    <row r="1111" spans="1:2">
      <c r="A1111" s="55"/>
      <c r="B1111"/>
    </row>
    <row r="1112" spans="1:2">
      <c r="A1112" s="55"/>
      <c r="B1112"/>
    </row>
    <row r="1113" spans="1:2">
      <c r="A1113" s="55"/>
      <c r="B1113"/>
    </row>
    <row r="1114" spans="1:2">
      <c r="A1114" s="55"/>
      <c r="B1114"/>
    </row>
    <row r="1115" spans="1:2">
      <c r="A1115" s="55"/>
      <c r="B1115"/>
    </row>
    <row r="1116" spans="1:2">
      <c r="A1116" s="55"/>
      <c r="B1116"/>
    </row>
    <row r="1117" spans="1:2">
      <c r="A1117" s="55"/>
      <c r="B1117"/>
    </row>
    <row r="1118" spans="1:2">
      <c r="A1118" s="55"/>
      <c r="B1118"/>
    </row>
    <row r="1119" spans="1:2">
      <c r="A1119" s="55"/>
      <c r="B1119"/>
    </row>
    <row r="1120" spans="1:2">
      <c r="A1120" s="55"/>
      <c r="B1120"/>
    </row>
    <row r="1121" spans="1:2">
      <c r="A1121" s="55"/>
      <c r="B1121"/>
    </row>
    <row r="1122" spans="1:2">
      <c r="A1122" s="55"/>
      <c r="B1122"/>
    </row>
    <row r="1123" spans="1:2">
      <c r="A1123" s="55"/>
      <c r="B1123"/>
    </row>
    <row r="1124" spans="1:2">
      <c r="A1124" s="55"/>
      <c r="B1124"/>
    </row>
    <row r="1125" spans="1:2">
      <c r="A1125" s="55"/>
      <c r="B1125"/>
    </row>
    <row r="1126" spans="1:2">
      <c r="A1126" s="55"/>
      <c r="B1126"/>
    </row>
    <row r="1127" spans="1:2">
      <c r="A1127" s="55"/>
      <c r="B1127"/>
    </row>
    <row r="1128" spans="1:2">
      <c r="A1128" s="55"/>
      <c r="B1128"/>
    </row>
    <row r="1129" spans="1:2">
      <c r="A1129" s="55"/>
      <c r="B1129"/>
    </row>
    <row r="1130" spans="1:2">
      <c r="A1130" s="55"/>
      <c r="B1130"/>
    </row>
    <row r="1131" spans="1:2">
      <c r="A1131" s="55"/>
      <c r="B1131"/>
    </row>
    <row r="1132" spans="1:2">
      <c r="A1132" s="55"/>
      <c r="B1132"/>
    </row>
    <row r="1133" spans="1:2">
      <c r="A1133" s="55"/>
      <c r="B1133"/>
    </row>
    <row r="1134" spans="1:2">
      <c r="A1134" s="55"/>
      <c r="B1134"/>
    </row>
    <row r="1135" spans="1:2">
      <c r="A1135" s="55"/>
      <c r="B1135"/>
    </row>
    <row r="1136" spans="1:2">
      <c r="A1136" s="55"/>
      <c r="B1136"/>
    </row>
    <row r="1137" spans="1:2">
      <c r="A1137" s="55"/>
      <c r="B1137"/>
    </row>
    <row r="1138" spans="1:2">
      <c r="A1138" s="55"/>
      <c r="B1138"/>
    </row>
    <row r="1139" spans="1:2">
      <c r="A1139" s="55"/>
      <c r="B1139"/>
    </row>
    <row r="1140" spans="1:2">
      <c r="A1140" s="55"/>
      <c r="B1140"/>
    </row>
    <row r="1141" spans="1:2">
      <c r="A1141" s="55"/>
      <c r="B1141"/>
    </row>
    <row r="1142" spans="1:2">
      <c r="A1142" s="55"/>
      <c r="B1142"/>
    </row>
    <row r="1143" spans="1:2">
      <c r="A1143" s="55"/>
      <c r="B1143"/>
    </row>
    <row r="1144" spans="1:2">
      <c r="A1144" s="55"/>
      <c r="B1144"/>
    </row>
    <row r="1145" spans="1:2">
      <c r="A1145" s="55"/>
      <c r="B1145"/>
    </row>
    <row r="1146" spans="1:2">
      <c r="A1146" s="55"/>
      <c r="B1146"/>
    </row>
    <row r="1147" spans="1:2">
      <c r="A1147" s="55"/>
      <c r="B1147"/>
    </row>
    <row r="1148" spans="1:2">
      <c r="A1148" s="55"/>
      <c r="B1148"/>
    </row>
    <row r="1149" spans="1:2">
      <c r="A1149" s="55"/>
      <c r="B1149"/>
    </row>
    <row r="1150" spans="1:2">
      <c r="A1150" s="55"/>
      <c r="B1150"/>
    </row>
    <row r="1151" spans="1:2">
      <c r="A1151" s="55"/>
      <c r="B1151"/>
    </row>
    <row r="1152" spans="1:2">
      <c r="A1152" s="55"/>
      <c r="B1152"/>
    </row>
    <row r="1153" spans="1:2">
      <c r="A1153" s="55"/>
      <c r="B1153"/>
    </row>
    <row r="1154" spans="1:2">
      <c r="A1154" s="55"/>
      <c r="B1154"/>
    </row>
    <row r="1155" spans="1:2">
      <c r="A1155" s="55"/>
      <c r="B1155"/>
    </row>
    <row r="1156" spans="1:2">
      <c r="A1156" s="55"/>
      <c r="B1156"/>
    </row>
    <row r="1157" spans="1:2">
      <c r="A1157" s="55"/>
      <c r="B1157"/>
    </row>
    <row r="1158" spans="1:2">
      <c r="A1158" s="55"/>
      <c r="B1158"/>
    </row>
    <row r="1159" spans="1:2">
      <c r="A1159" s="55"/>
      <c r="B1159"/>
    </row>
    <row r="1160" spans="1:2">
      <c r="A1160" s="55"/>
      <c r="B1160"/>
    </row>
    <row r="1161" spans="1:2">
      <c r="A1161" s="55"/>
      <c r="B1161"/>
    </row>
    <row r="1162" spans="1:2">
      <c r="A1162" s="55"/>
      <c r="B1162"/>
    </row>
    <row r="1163" spans="1:2">
      <c r="A1163" s="55"/>
      <c r="B1163"/>
    </row>
    <row r="1164" spans="1:2">
      <c r="A1164" s="55"/>
      <c r="B1164"/>
    </row>
    <row r="1165" spans="1:2">
      <c r="A1165" s="55"/>
      <c r="B1165"/>
    </row>
    <row r="1166" spans="1:2">
      <c r="A1166" s="55"/>
      <c r="B1166"/>
    </row>
    <row r="1167" spans="1:2">
      <c r="A1167" s="55"/>
      <c r="B1167"/>
    </row>
    <row r="1168" spans="1:2">
      <c r="A1168" s="55"/>
      <c r="B1168"/>
    </row>
    <row r="1169" spans="1:2">
      <c r="A1169" s="55"/>
      <c r="B1169"/>
    </row>
    <row r="1170" spans="1:2">
      <c r="A1170" s="55"/>
      <c r="B1170"/>
    </row>
    <row r="1171" spans="1:2">
      <c r="A1171" s="55"/>
      <c r="B1171"/>
    </row>
    <row r="1172" spans="1:2">
      <c r="A1172" s="55"/>
      <c r="B1172"/>
    </row>
    <row r="1173" spans="1:2">
      <c r="A1173" s="55"/>
      <c r="B1173"/>
    </row>
    <row r="1174" spans="1:2">
      <c r="A1174" s="55"/>
      <c r="B1174"/>
    </row>
    <row r="1175" spans="1:2">
      <c r="A1175" s="55"/>
      <c r="B1175"/>
    </row>
    <row r="1176" spans="1:2">
      <c r="A1176" s="55"/>
      <c r="B1176"/>
    </row>
    <row r="1177" spans="1:2">
      <c r="A1177" s="55"/>
      <c r="B1177"/>
    </row>
    <row r="1178" spans="1:2">
      <c r="A1178" s="55"/>
      <c r="B1178"/>
    </row>
    <row r="1179" spans="1:2">
      <c r="A1179" s="55"/>
      <c r="B1179"/>
    </row>
    <row r="1180" spans="1:2">
      <c r="A1180" s="55"/>
      <c r="B1180"/>
    </row>
    <row r="1181" spans="1:2">
      <c r="A1181" s="55"/>
      <c r="B1181"/>
    </row>
    <row r="1182" spans="1:2">
      <c r="A1182" s="55"/>
      <c r="B1182"/>
    </row>
    <row r="1183" spans="1:2">
      <c r="A1183" s="55"/>
      <c r="B1183"/>
    </row>
    <row r="1184" spans="1:2">
      <c r="A1184" s="55"/>
      <c r="B1184"/>
    </row>
    <row r="1185" spans="1:2">
      <c r="A1185" s="55"/>
      <c r="B1185"/>
    </row>
    <row r="1186" spans="1:2">
      <c r="A1186" s="55"/>
      <c r="B1186"/>
    </row>
    <row r="1187" spans="1:2">
      <c r="A1187" s="55"/>
      <c r="B1187"/>
    </row>
    <row r="1188" spans="1:2">
      <c r="A1188" s="55"/>
      <c r="B1188"/>
    </row>
    <row r="1189" spans="1:2">
      <c r="A1189" s="55"/>
      <c r="B1189"/>
    </row>
    <row r="1190" spans="1:2">
      <c r="A1190" s="55"/>
      <c r="B1190"/>
    </row>
    <row r="1191" spans="1:2">
      <c r="A1191" s="55"/>
      <c r="B1191"/>
    </row>
    <row r="1192" spans="1:2">
      <c r="A1192" s="55"/>
      <c r="B1192"/>
    </row>
    <row r="1193" spans="1:2">
      <c r="A1193" s="55"/>
      <c r="B1193"/>
    </row>
    <row r="1194" spans="1:2">
      <c r="A1194" s="55"/>
      <c r="B1194"/>
    </row>
    <row r="1195" spans="1:2">
      <c r="A1195" s="55"/>
      <c r="B1195"/>
    </row>
    <row r="1196" spans="1:2">
      <c r="A1196" s="55"/>
      <c r="B1196"/>
    </row>
    <row r="1197" spans="1:2">
      <c r="A1197" s="55"/>
      <c r="B1197"/>
    </row>
    <row r="1198" spans="1:2">
      <c r="A1198" s="55"/>
      <c r="B1198"/>
    </row>
    <row r="1199" spans="1:2">
      <c r="A1199" s="55"/>
      <c r="B1199"/>
    </row>
    <row r="1200" spans="1:2">
      <c r="A1200" s="55"/>
      <c r="B1200"/>
    </row>
    <row r="1201" spans="1:2">
      <c r="A1201" s="55"/>
      <c r="B1201"/>
    </row>
    <row r="1202" spans="1:2">
      <c r="A1202" s="55"/>
      <c r="B1202"/>
    </row>
    <row r="1203" spans="1:2">
      <c r="A1203" s="55"/>
      <c r="B1203"/>
    </row>
    <row r="1204" spans="1:2">
      <c r="A1204" s="55"/>
      <c r="B1204"/>
    </row>
    <row r="1205" spans="1:2">
      <c r="A1205" s="55"/>
      <c r="B1205"/>
    </row>
    <row r="1206" spans="1:2">
      <c r="A1206" s="55"/>
      <c r="B1206"/>
    </row>
    <row r="1207" spans="1:2">
      <c r="A1207" s="55"/>
      <c r="B1207"/>
    </row>
    <row r="1208" spans="1:2">
      <c r="A1208" s="55"/>
      <c r="B1208"/>
    </row>
    <row r="1209" spans="1:2">
      <c r="A1209" s="55"/>
      <c r="B1209"/>
    </row>
    <row r="1210" spans="1:2">
      <c r="A1210" s="55"/>
      <c r="B1210"/>
    </row>
    <row r="1211" spans="1:2">
      <c r="A1211" s="55"/>
      <c r="B1211"/>
    </row>
    <row r="1212" spans="1:2">
      <c r="A1212" s="55"/>
      <c r="B1212"/>
    </row>
    <row r="1213" spans="1:2">
      <c r="A1213" s="55"/>
      <c r="B1213"/>
    </row>
    <row r="1214" spans="1:2">
      <c r="A1214" s="55"/>
      <c r="B1214"/>
    </row>
    <row r="1215" spans="1:2">
      <c r="A1215" s="55"/>
      <c r="B1215"/>
    </row>
    <row r="1216" spans="1:2">
      <c r="A1216" s="55"/>
      <c r="B1216"/>
    </row>
    <row r="1217" spans="1:2">
      <c r="A1217" s="55"/>
      <c r="B1217"/>
    </row>
    <row r="1218" spans="1:2">
      <c r="A1218" s="55"/>
      <c r="B1218"/>
    </row>
    <row r="1219" spans="1:2">
      <c r="A1219" s="55"/>
      <c r="B1219"/>
    </row>
    <row r="1220" spans="1:2">
      <c r="A1220" s="55"/>
      <c r="B1220"/>
    </row>
    <row r="1221" spans="1:2">
      <c r="A1221" s="55"/>
      <c r="B1221"/>
    </row>
    <row r="1222" spans="1:2">
      <c r="A1222" s="55"/>
      <c r="B1222"/>
    </row>
    <row r="1223" spans="1:2">
      <c r="A1223" s="55"/>
      <c r="B1223"/>
    </row>
    <row r="1224" spans="1:2">
      <c r="A1224" s="55"/>
      <c r="B1224"/>
    </row>
    <row r="1225" spans="1:2">
      <c r="A1225" s="55"/>
      <c r="B1225"/>
    </row>
    <row r="1226" spans="1:2">
      <c r="A1226" s="55"/>
      <c r="B1226"/>
    </row>
    <row r="1227" spans="1:2">
      <c r="A1227" s="55"/>
      <c r="B1227"/>
    </row>
    <row r="1228" spans="1:2">
      <c r="A1228" s="55"/>
      <c r="B1228"/>
    </row>
    <row r="1229" spans="1:2">
      <c r="A1229" s="55"/>
      <c r="B1229"/>
    </row>
    <row r="1230" spans="1:2">
      <c r="A1230" s="55"/>
      <c r="B1230"/>
    </row>
    <row r="1231" spans="1:2">
      <c r="A1231" s="55"/>
      <c r="B1231"/>
    </row>
    <row r="1232" spans="1:2">
      <c r="A1232" s="55"/>
      <c r="B1232"/>
    </row>
    <row r="1233" spans="1:2">
      <c r="A1233" s="55"/>
      <c r="B1233"/>
    </row>
    <row r="1234" spans="1:2">
      <c r="A1234" s="55"/>
      <c r="B1234"/>
    </row>
    <row r="1235" spans="1:2">
      <c r="A1235" s="55"/>
      <c r="B1235"/>
    </row>
    <row r="1236" spans="1:2">
      <c r="A1236" s="55"/>
      <c r="B1236"/>
    </row>
    <row r="1237" spans="1:2">
      <c r="A1237" s="55"/>
      <c r="B1237"/>
    </row>
    <row r="1238" spans="1:2">
      <c r="A1238" s="55"/>
      <c r="B1238"/>
    </row>
    <row r="1239" spans="1:2">
      <c r="A1239" s="55"/>
      <c r="B1239"/>
    </row>
    <row r="1240" spans="1:2">
      <c r="A1240" s="55"/>
      <c r="B1240"/>
    </row>
    <row r="1241" spans="1:2">
      <c r="A1241" s="55"/>
      <c r="B1241"/>
    </row>
    <row r="1242" spans="1:2">
      <c r="A1242" s="55"/>
      <c r="B1242"/>
    </row>
    <row r="1243" spans="1:2">
      <c r="A1243" s="55"/>
      <c r="B1243"/>
    </row>
    <row r="1244" spans="1:2">
      <c r="A1244" s="55"/>
      <c r="B1244"/>
    </row>
    <row r="1245" spans="1:2">
      <c r="A1245" s="55"/>
      <c r="B1245"/>
    </row>
    <row r="1246" spans="1:2">
      <c r="A1246" s="55"/>
      <c r="B1246"/>
    </row>
    <row r="1247" spans="1:2">
      <c r="A1247" s="55"/>
      <c r="B1247"/>
    </row>
    <row r="1248" spans="1:2">
      <c r="A1248" s="55"/>
      <c r="B1248"/>
    </row>
    <row r="1249" spans="1:2">
      <c r="A1249" s="55"/>
      <c r="B1249"/>
    </row>
    <row r="1250" spans="1:2">
      <c r="A1250" s="55"/>
      <c r="B1250"/>
    </row>
    <row r="1251" spans="1:2">
      <c r="A1251" s="55"/>
      <c r="B1251"/>
    </row>
    <row r="1252" spans="1:2">
      <c r="A1252" s="55"/>
      <c r="B1252"/>
    </row>
    <row r="1253" spans="1:2">
      <c r="A1253" s="55"/>
      <c r="B1253"/>
    </row>
    <row r="1254" spans="1:2">
      <c r="A1254" s="55"/>
      <c r="B1254"/>
    </row>
    <row r="1255" spans="1:2">
      <c r="A1255" s="55"/>
      <c r="B1255"/>
    </row>
    <row r="1256" spans="1:2">
      <c r="A1256" s="55"/>
      <c r="B1256"/>
    </row>
    <row r="1257" spans="1:2">
      <c r="A1257" s="55"/>
      <c r="B1257"/>
    </row>
    <row r="1258" spans="1:2">
      <c r="A1258" s="55"/>
      <c r="B1258"/>
    </row>
    <row r="1259" spans="1:2">
      <c r="A1259" s="55"/>
      <c r="B1259"/>
    </row>
    <row r="1260" spans="1:2">
      <c r="A1260" s="55"/>
      <c r="B1260"/>
    </row>
    <row r="1261" spans="1:2">
      <c r="A1261" s="55"/>
      <c r="B1261"/>
    </row>
    <row r="1262" spans="1:2">
      <c r="A1262" s="55"/>
      <c r="B1262"/>
    </row>
    <row r="1263" spans="1:2">
      <c r="A1263" s="55"/>
      <c r="B1263"/>
    </row>
    <row r="1264" spans="1:2">
      <c r="A1264" s="55"/>
      <c r="B1264"/>
    </row>
    <row r="1265" spans="1:2">
      <c r="A1265" s="55"/>
      <c r="B1265"/>
    </row>
    <row r="1266" spans="1:2">
      <c r="A1266" s="55"/>
      <c r="B1266"/>
    </row>
    <row r="1267" spans="1:2">
      <c r="A1267" s="55"/>
      <c r="B1267"/>
    </row>
    <row r="1268" spans="1:2">
      <c r="A1268" s="55"/>
      <c r="B1268"/>
    </row>
    <row r="1269" spans="1:2">
      <c r="A1269" s="55"/>
      <c r="B1269"/>
    </row>
    <row r="1270" spans="1:2">
      <c r="A1270" s="55"/>
      <c r="B1270"/>
    </row>
    <row r="1271" spans="1:2">
      <c r="A1271" s="55"/>
      <c r="B1271"/>
    </row>
    <row r="1272" spans="1:2">
      <c r="A1272" s="55"/>
      <c r="B1272"/>
    </row>
    <row r="1273" spans="1:2">
      <c r="A1273" s="55"/>
      <c r="B1273"/>
    </row>
    <row r="1274" spans="1:2">
      <c r="A1274" s="55"/>
      <c r="B1274"/>
    </row>
    <row r="1275" spans="1:2">
      <c r="A1275" s="55"/>
      <c r="B1275"/>
    </row>
    <row r="1276" spans="1:2">
      <c r="A1276" s="55"/>
      <c r="B1276"/>
    </row>
    <row r="1277" spans="1:2">
      <c r="A1277" s="55"/>
      <c r="B1277"/>
    </row>
    <row r="1278" spans="1:2">
      <c r="A1278" s="55"/>
      <c r="B1278"/>
    </row>
    <row r="1279" spans="1:2">
      <c r="A1279" s="55"/>
      <c r="B1279"/>
    </row>
    <row r="1280" spans="1:2">
      <c r="A1280" s="55"/>
      <c r="B1280"/>
    </row>
    <row r="1281" spans="1:2">
      <c r="A1281" s="55"/>
      <c r="B1281"/>
    </row>
    <row r="1282" spans="1:2">
      <c r="A1282" s="55"/>
      <c r="B1282"/>
    </row>
    <row r="1283" spans="1:2">
      <c r="A1283" s="55"/>
      <c r="B1283"/>
    </row>
    <row r="1284" spans="1:2">
      <c r="A1284" s="55"/>
      <c r="B1284"/>
    </row>
    <row r="1285" spans="1:2">
      <c r="A1285" s="55"/>
      <c r="B1285"/>
    </row>
    <row r="1286" spans="1:2">
      <c r="A1286" s="55"/>
      <c r="B1286"/>
    </row>
    <row r="1287" spans="1:2">
      <c r="A1287" s="55"/>
      <c r="B1287"/>
    </row>
    <row r="1288" spans="1:2">
      <c r="A1288" s="55"/>
      <c r="B1288"/>
    </row>
    <row r="1289" spans="1:2">
      <c r="A1289" s="55"/>
      <c r="B1289"/>
    </row>
    <row r="1290" spans="1:2">
      <c r="A1290" s="55"/>
      <c r="B1290"/>
    </row>
    <row r="1291" spans="1:2">
      <c r="A1291" s="55"/>
      <c r="B1291"/>
    </row>
    <row r="1292" spans="1:2">
      <c r="A1292" s="55"/>
      <c r="B1292"/>
    </row>
    <row r="1293" spans="1:2">
      <c r="A1293" s="55"/>
      <c r="B1293"/>
    </row>
    <row r="1294" spans="1:2">
      <c r="A1294" s="55"/>
      <c r="B1294"/>
    </row>
    <row r="1295" spans="1:2">
      <c r="A1295" s="55"/>
      <c r="B1295"/>
    </row>
    <row r="1296" spans="1:2">
      <c r="A1296" s="55"/>
      <c r="B1296"/>
    </row>
    <row r="1297" spans="1:2">
      <c r="A1297" s="55"/>
      <c r="B1297"/>
    </row>
    <row r="1298" spans="1:2">
      <c r="A1298" s="55"/>
      <c r="B1298"/>
    </row>
    <row r="1299" spans="1:2">
      <c r="A1299" s="55"/>
      <c r="B1299"/>
    </row>
    <row r="1300" spans="1:2">
      <c r="A1300" s="55"/>
      <c r="B1300"/>
    </row>
    <row r="1301" spans="1:2">
      <c r="A1301" s="55"/>
      <c r="B1301"/>
    </row>
    <row r="1302" spans="1:2">
      <c r="A1302" s="55"/>
      <c r="B1302"/>
    </row>
    <row r="1303" spans="1:2">
      <c r="A1303" s="55"/>
      <c r="B1303"/>
    </row>
    <row r="1304" spans="1:2">
      <c r="A1304" s="55"/>
      <c r="B1304"/>
    </row>
    <row r="1305" spans="1:2">
      <c r="A1305" s="55"/>
      <c r="B1305"/>
    </row>
    <row r="1306" spans="1:2">
      <c r="A1306" s="55"/>
      <c r="B1306"/>
    </row>
    <row r="1307" spans="1:2">
      <c r="A1307" s="55"/>
      <c r="B1307"/>
    </row>
    <row r="1308" spans="1:2">
      <c r="A1308" s="55"/>
      <c r="B1308"/>
    </row>
    <row r="1309" spans="1:2">
      <c r="A1309" s="55"/>
      <c r="B1309"/>
    </row>
    <row r="1310" spans="1:2">
      <c r="A1310" s="55"/>
      <c r="B1310"/>
    </row>
    <row r="1311" spans="1:2">
      <c r="A1311" s="55"/>
      <c r="B1311"/>
    </row>
    <row r="1312" spans="1:2">
      <c r="A1312" s="55"/>
      <c r="B1312"/>
    </row>
    <row r="1313" spans="1:2">
      <c r="A1313" s="55"/>
      <c r="B1313"/>
    </row>
    <row r="1314" spans="1:2">
      <c r="A1314" s="55"/>
      <c r="B1314"/>
    </row>
    <row r="1315" spans="1:2">
      <c r="A1315" s="55"/>
      <c r="B1315"/>
    </row>
    <row r="1316" spans="1:2">
      <c r="A1316" s="55"/>
      <c r="B1316"/>
    </row>
    <row r="1317" spans="1:2">
      <c r="A1317" s="55"/>
      <c r="B1317"/>
    </row>
    <row r="1318" spans="1:2">
      <c r="A1318" s="55"/>
      <c r="B1318"/>
    </row>
    <row r="1319" spans="1:2">
      <c r="A1319" s="55"/>
      <c r="B1319"/>
    </row>
    <row r="1320" spans="1:2">
      <c r="A1320" s="55"/>
      <c r="B1320"/>
    </row>
    <row r="1321" spans="1:2">
      <c r="A1321" s="55"/>
      <c r="B1321"/>
    </row>
    <row r="1322" spans="1:2">
      <c r="A1322" s="55"/>
      <c r="B1322"/>
    </row>
    <row r="1323" spans="1:2">
      <c r="A1323" s="55"/>
      <c r="B1323"/>
    </row>
    <row r="1324" spans="1:2">
      <c r="A1324" s="55"/>
      <c r="B1324"/>
    </row>
    <row r="1325" spans="1:2">
      <c r="A1325" s="55"/>
      <c r="B1325"/>
    </row>
    <row r="1326" spans="1:2">
      <c r="A1326" s="55"/>
      <c r="B1326"/>
    </row>
    <row r="1327" spans="1:2">
      <c r="A1327" s="55"/>
      <c r="B1327"/>
    </row>
    <row r="1328" spans="1:2">
      <c r="A1328" s="55"/>
      <c r="B1328"/>
    </row>
    <row r="1329" spans="1:2">
      <c r="A1329" s="55"/>
      <c r="B1329"/>
    </row>
    <row r="1330" spans="1:2">
      <c r="A1330" s="55"/>
      <c r="B1330"/>
    </row>
    <row r="1331" spans="1:2">
      <c r="A1331" s="55"/>
      <c r="B1331"/>
    </row>
    <row r="1332" spans="1:2">
      <c r="A1332" s="55"/>
      <c r="B1332"/>
    </row>
    <row r="1333" spans="1:2">
      <c r="A1333" s="55"/>
      <c r="B1333"/>
    </row>
    <row r="1334" spans="1:2">
      <c r="A1334" s="55"/>
      <c r="B1334"/>
    </row>
    <row r="1335" spans="1:2">
      <c r="A1335" s="55"/>
      <c r="B1335"/>
    </row>
    <row r="1336" spans="1:2">
      <c r="A1336" s="55"/>
      <c r="B1336"/>
    </row>
    <row r="1337" spans="1:2">
      <c r="A1337" s="55"/>
      <c r="B1337"/>
    </row>
    <row r="1338" spans="1:2">
      <c r="A1338" s="55"/>
      <c r="B1338"/>
    </row>
    <row r="1339" spans="1:2">
      <c r="A1339" s="55"/>
      <c r="B1339"/>
    </row>
    <row r="1340" spans="1:2">
      <c r="A1340" s="55"/>
      <c r="B1340"/>
    </row>
    <row r="1341" spans="1:2">
      <c r="A1341" s="55"/>
      <c r="B1341"/>
    </row>
    <row r="1342" spans="1:2">
      <c r="A1342" s="55"/>
      <c r="B1342"/>
    </row>
    <row r="1343" spans="1:2">
      <c r="A1343" s="55"/>
      <c r="B1343"/>
    </row>
    <row r="1344" spans="1:2">
      <c r="A1344" s="55"/>
      <c r="B1344"/>
    </row>
    <row r="1345" spans="1:2">
      <c r="A1345" s="55"/>
      <c r="B1345"/>
    </row>
    <row r="1346" spans="1:2">
      <c r="A1346" s="55"/>
      <c r="B1346"/>
    </row>
    <row r="1347" spans="1:2">
      <c r="A1347" s="55"/>
      <c r="B1347"/>
    </row>
    <row r="1348" spans="1:2">
      <c r="A1348" s="55"/>
      <c r="B1348"/>
    </row>
    <row r="1349" spans="1:2">
      <c r="A1349" s="55"/>
      <c r="B1349"/>
    </row>
    <row r="1350" spans="1:2">
      <c r="A1350" s="55"/>
      <c r="B1350"/>
    </row>
    <row r="1351" spans="1:2">
      <c r="A1351" s="55"/>
      <c r="B1351"/>
    </row>
    <row r="1352" spans="1:2">
      <c r="A1352" s="55"/>
      <c r="B1352"/>
    </row>
    <row r="1353" spans="1:2">
      <c r="A1353" s="55"/>
      <c r="B1353"/>
    </row>
    <row r="1354" spans="1:2">
      <c r="A1354" s="55"/>
      <c r="B1354"/>
    </row>
    <row r="1355" spans="1:2">
      <c r="A1355" s="55"/>
      <c r="B1355"/>
    </row>
    <row r="1356" spans="1:2">
      <c r="A1356" s="55"/>
      <c r="B1356"/>
    </row>
    <row r="1357" spans="1:2">
      <c r="A1357" s="55"/>
      <c r="B1357"/>
    </row>
    <row r="1358" spans="1:2">
      <c r="A1358" s="55"/>
      <c r="B1358"/>
    </row>
    <row r="1359" spans="1:2">
      <c r="A1359" s="55"/>
      <c r="B1359"/>
    </row>
    <row r="1360" spans="1:2">
      <c r="A1360" s="55"/>
      <c r="B1360"/>
    </row>
    <row r="1361" spans="1:2">
      <c r="A1361" s="55"/>
      <c r="B1361"/>
    </row>
    <row r="1362" spans="1:2">
      <c r="A1362" s="55"/>
      <c r="B1362"/>
    </row>
    <row r="1363" spans="1:2">
      <c r="A1363" s="55"/>
      <c r="B1363"/>
    </row>
    <row r="1364" spans="1:2">
      <c r="A1364" s="55"/>
      <c r="B1364"/>
    </row>
    <row r="1365" spans="1:2">
      <c r="A1365" s="55"/>
      <c r="B1365"/>
    </row>
    <row r="1366" spans="1:2">
      <c r="A1366" s="55"/>
      <c r="B1366"/>
    </row>
    <row r="1367" spans="1:2">
      <c r="A1367" s="55"/>
      <c r="B1367"/>
    </row>
    <row r="1368" spans="1:2">
      <c r="A1368" s="55"/>
      <c r="B1368"/>
    </row>
    <row r="1369" spans="1:2">
      <c r="A1369" s="55"/>
      <c r="B1369"/>
    </row>
    <row r="1370" spans="1:2">
      <c r="A1370" s="55"/>
      <c r="B1370"/>
    </row>
    <row r="1371" spans="1:2">
      <c r="A1371" s="55"/>
      <c r="B1371"/>
    </row>
    <row r="1372" spans="1:2">
      <c r="A1372" s="55"/>
      <c r="B1372"/>
    </row>
    <row r="1373" spans="1:2">
      <c r="A1373" s="55"/>
      <c r="B1373"/>
    </row>
    <row r="1374" spans="1:2">
      <c r="A1374" s="55"/>
      <c r="B1374"/>
    </row>
    <row r="1375" spans="1:2">
      <c r="A1375" s="55"/>
      <c r="B1375"/>
    </row>
    <row r="1376" spans="1:2">
      <c r="A1376" s="55"/>
      <c r="B1376"/>
    </row>
    <row r="1377" spans="1:2">
      <c r="A1377" s="55"/>
      <c r="B1377"/>
    </row>
    <row r="1378" spans="1:2">
      <c r="A1378" s="55"/>
      <c r="B1378"/>
    </row>
    <row r="1379" spans="1:2">
      <c r="A1379" s="55"/>
      <c r="B1379"/>
    </row>
    <row r="1380" spans="1:2">
      <c r="A1380" s="55"/>
      <c r="B1380"/>
    </row>
    <row r="1381" spans="1:2">
      <c r="A1381" s="55"/>
      <c r="B1381"/>
    </row>
    <row r="1382" spans="1:2">
      <c r="A1382" s="55"/>
      <c r="B1382"/>
    </row>
    <row r="1383" spans="1:2">
      <c r="A1383" s="55"/>
      <c r="B1383"/>
    </row>
    <row r="1384" spans="1:2">
      <c r="A1384" s="55"/>
      <c r="B1384"/>
    </row>
    <row r="1385" spans="1:2">
      <c r="A1385" s="55"/>
      <c r="B1385"/>
    </row>
    <row r="1386" spans="1:2">
      <c r="A1386" s="55"/>
      <c r="B1386"/>
    </row>
    <row r="1387" spans="1:2">
      <c r="A1387" s="55"/>
      <c r="B1387"/>
    </row>
    <row r="1388" spans="1:2">
      <c r="A1388" s="55"/>
      <c r="B1388"/>
    </row>
    <row r="1389" spans="1:2">
      <c r="A1389" s="55"/>
      <c r="B1389"/>
    </row>
    <row r="1390" spans="1:2">
      <c r="A1390" s="55"/>
      <c r="B1390"/>
    </row>
    <row r="1391" spans="1:2">
      <c r="A1391" s="55"/>
      <c r="B1391"/>
    </row>
    <row r="1392" spans="1:2">
      <c r="A1392" s="55"/>
      <c r="B1392"/>
    </row>
    <row r="1393" spans="1:2">
      <c r="A1393" s="55"/>
      <c r="B1393"/>
    </row>
    <row r="1394" spans="1:2">
      <c r="A1394" s="55"/>
      <c r="B1394"/>
    </row>
    <row r="1395" spans="1:2">
      <c r="A1395" s="55"/>
      <c r="B1395"/>
    </row>
    <row r="1396" spans="1:2">
      <c r="A1396" s="55"/>
      <c r="B1396"/>
    </row>
    <row r="1397" spans="1:2">
      <c r="A1397" s="55"/>
      <c r="B1397"/>
    </row>
    <row r="1398" spans="1:2">
      <c r="A1398" s="55"/>
      <c r="B1398"/>
    </row>
    <row r="1399" spans="1:2">
      <c r="A1399" s="55"/>
      <c r="B1399"/>
    </row>
    <row r="1400" spans="1:2">
      <c r="A1400" s="55"/>
      <c r="B1400"/>
    </row>
    <row r="1401" spans="1:2">
      <c r="A1401" s="55"/>
      <c r="B1401"/>
    </row>
    <row r="1402" spans="1:2">
      <c r="A1402" s="55"/>
      <c r="B1402"/>
    </row>
    <row r="1403" spans="1:2">
      <c r="A1403" s="55"/>
      <c r="B1403"/>
    </row>
    <row r="1404" spans="1:2">
      <c r="A1404" s="55"/>
      <c r="B1404"/>
    </row>
    <row r="1405" spans="1:2">
      <c r="A1405" s="55"/>
      <c r="B1405"/>
    </row>
    <row r="1406" spans="1:2">
      <c r="A1406" s="55"/>
      <c r="B1406"/>
    </row>
    <row r="1407" spans="1:2">
      <c r="A1407" s="55"/>
      <c r="B1407"/>
    </row>
    <row r="1408" spans="1:2">
      <c r="A1408" s="55"/>
      <c r="B1408"/>
    </row>
    <row r="1409" spans="1:2">
      <c r="A1409" s="55"/>
      <c r="B1409"/>
    </row>
    <row r="1410" spans="1:2">
      <c r="A1410" s="55"/>
      <c r="B1410"/>
    </row>
    <row r="1411" spans="1:2">
      <c r="A1411" s="55"/>
      <c r="B1411"/>
    </row>
    <row r="1412" spans="1:2">
      <c r="A1412" s="55"/>
      <c r="B1412"/>
    </row>
    <row r="1413" spans="1:2">
      <c r="A1413" s="55"/>
      <c r="B1413"/>
    </row>
    <row r="1414" spans="1:2">
      <c r="A1414" s="55"/>
      <c r="B1414"/>
    </row>
    <row r="1415" spans="1:2">
      <c r="A1415" s="55"/>
      <c r="B1415"/>
    </row>
    <row r="1416" spans="1:2">
      <c r="A1416" s="55"/>
      <c r="B1416"/>
    </row>
    <row r="1417" spans="1:2">
      <c r="A1417" s="55"/>
      <c r="B1417"/>
    </row>
    <row r="1418" spans="1:2">
      <c r="A1418" s="55"/>
      <c r="B1418"/>
    </row>
    <row r="1419" spans="1:2">
      <c r="A1419" s="55"/>
      <c r="B1419"/>
    </row>
    <row r="1420" spans="1:2">
      <c r="A1420" s="55"/>
      <c r="B1420"/>
    </row>
    <row r="1421" spans="1:2">
      <c r="A1421" s="55"/>
      <c r="B1421"/>
    </row>
    <row r="1422" spans="1:2">
      <c r="A1422" s="55"/>
      <c r="B1422"/>
    </row>
    <row r="1423" spans="1:2">
      <c r="A1423" s="55"/>
      <c r="B1423"/>
    </row>
    <row r="1424" spans="1:2">
      <c r="A1424" s="55"/>
      <c r="B1424"/>
    </row>
    <row r="1425" spans="1:2">
      <c r="A1425" s="55"/>
      <c r="B1425"/>
    </row>
    <row r="1426" spans="1:2">
      <c r="A1426" s="55"/>
      <c r="B1426"/>
    </row>
    <row r="1427" spans="1:2">
      <c r="A1427" s="55"/>
      <c r="B1427"/>
    </row>
    <row r="1428" spans="1:2">
      <c r="A1428" s="55"/>
      <c r="B1428"/>
    </row>
    <row r="1429" spans="1:2">
      <c r="A1429" s="55"/>
      <c r="B1429"/>
    </row>
    <row r="1430" spans="1:2">
      <c r="A1430" s="55"/>
      <c r="B1430"/>
    </row>
    <row r="1431" spans="1:2">
      <c r="A1431" s="55"/>
      <c r="B1431"/>
    </row>
    <row r="1432" spans="1:2">
      <c r="A1432" s="55"/>
      <c r="B1432"/>
    </row>
    <row r="1433" spans="1:2">
      <c r="A1433" s="55"/>
      <c r="B1433"/>
    </row>
    <row r="1434" spans="1:2">
      <c r="A1434" s="55"/>
      <c r="B1434"/>
    </row>
    <row r="1435" spans="1:2">
      <c r="A1435" s="55"/>
      <c r="B1435"/>
    </row>
    <row r="1436" spans="1:2">
      <c r="A1436" s="55"/>
      <c r="B1436"/>
    </row>
    <row r="1437" spans="1:2">
      <c r="A1437" s="55"/>
      <c r="B1437"/>
    </row>
    <row r="1438" spans="1:2">
      <c r="A1438" s="55"/>
      <c r="B1438"/>
    </row>
    <row r="1439" spans="1:2">
      <c r="A1439" s="55"/>
      <c r="B1439"/>
    </row>
    <row r="1440" spans="1:2">
      <c r="A1440" s="55"/>
      <c r="B1440"/>
    </row>
    <row r="1441" spans="1:2">
      <c r="A1441" s="55"/>
      <c r="B1441"/>
    </row>
    <row r="1442" spans="1:2">
      <c r="A1442" s="55"/>
      <c r="B1442"/>
    </row>
    <row r="1443" spans="1:2">
      <c r="A1443" s="55"/>
      <c r="B1443"/>
    </row>
    <row r="1444" spans="1:2">
      <c r="A1444" s="55"/>
      <c r="B1444"/>
    </row>
    <row r="1445" spans="1:2">
      <c r="A1445" s="55"/>
      <c r="B1445"/>
    </row>
    <row r="1446" spans="1:2">
      <c r="A1446" s="55"/>
      <c r="B1446"/>
    </row>
    <row r="1447" spans="1:2">
      <c r="A1447" s="55"/>
      <c r="B1447"/>
    </row>
    <row r="1448" spans="1:2">
      <c r="A1448" s="55"/>
      <c r="B1448"/>
    </row>
    <row r="1449" spans="1:2">
      <c r="A1449" s="55"/>
      <c r="B1449"/>
    </row>
    <row r="1450" spans="1:2">
      <c r="A1450" s="55"/>
      <c r="B1450"/>
    </row>
    <row r="1451" spans="1:2">
      <c r="A1451" s="55"/>
      <c r="B1451"/>
    </row>
    <row r="1452" spans="1:2">
      <c r="A1452" s="55"/>
      <c r="B1452"/>
    </row>
    <row r="1453" spans="1:2">
      <c r="A1453" s="55"/>
      <c r="B1453"/>
    </row>
    <row r="1454" spans="1:2">
      <c r="A1454" s="55"/>
      <c r="B1454"/>
    </row>
    <row r="1455" spans="1:2">
      <c r="A1455" s="55"/>
      <c r="B1455"/>
    </row>
    <row r="1456" spans="1:2">
      <c r="A1456" s="55"/>
      <c r="B1456"/>
    </row>
    <row r="1457" spans="1:2">
      <c r="A1457" s="55"/>
      <c r="B1457"/>
    </row>
    <row r="1458" spans="1:2">
      <c r="A1458" s="55"/>
      <c r="B1458"/>
    </row>
    <row r="1459" spans="1:2">
      <c r="A1459" s="55"/>
      <c r="B1459"/>
    </row>
    <row r="1460" spans="1:2">
      <c r="A1460" s="55"/>
      <c r="B1460"/>
    </row>
    <row r="1461" spans="1:2">
      <c r="A1461" s="55"/>
      <c r="B1461"/>
    </row>
    <row r="1462" spans="1:2">
      <c r="A1462" s="55"/>
      <c r="B1462"/>
    </row>
    <row r="1463" spans="1:2">
      <c r="A1463" s="55"/>
      <c r="B1463"/>
    </row>
    <row r="1464" spans="1:2">
      <c r="A1464" s="55"/>
      <c r="B1464"/>
    </row>
    <row r="1465" spans="1:2">
      <c r="A1465" s="55"/>
      <c r="B1465"/>
    </row>
    <row r="1466" spans="1:2">
      <c r="A1466" s="55"/>
      <c r="B1466"/>
    </row>
    <row r="1467" spans="1:2">
      <c r="A1467" s="55"/>
      <c r="B1467"/>
    </row>
    <row r="1468" spans="1:2">
      <c r="A1468" s="55"/>
      <c r="B1468"/>
    </row>
    <row r="1469" spans="1:2">
      <c r="A1469" s="55"/>
      <c r="B1469"/>
    </row>
    <row r="1470" spans="1:2">
      <c r="A1470" s="55"/>
      <c r="B1470"/>
    </row>
    <row r="1471" spans="1:2">
      <c r="A1471" s="55"/>
      <c r="B1471"/>
    </row>
    <row r="1472" spans="1:2">
      <c r="A1472" s="55"/>
      <c r="B1472"/>
    </row>
    <row r="1473" spans="1:2">
      <c r="A1473" s="55"/>
      <c r="B1473"/>
    </row>
    <row r="1474" spans="1:2">
      <c r="A1474" s="55"/>
      <c r="B1474"/>
    </row>
    <row r="1475" spans="1:2">
      <c r="A1475" s="55"/>
      <c r="B1475"/>
    </row>
    <row r="1476" spans="1:2">
      <c r="A1476" s="55"/>
      <c r="B1476"/>
    </row>
    <row r="1477" spans="1:2">
      <c r="A1477" s="55"/>
      <c r="B1477"/>
    </row>
    <row r="1478" spans="1:2">
      <c r="A1478" s="55"/>
      <c r="B1478"/>
    </row>
    <row r="1479" spans="1:2">
      <c r="A1479" s="55"/>
      <c r="B1479"/>
    </row>
    <row r="1480" spans="1:2">
      <c r="A1480" s="55"/>
      <c r="B1480"/>
    </row>
    <row r="1481" spans="1:2">
      <c r="A1481" s="55"/>
      <c r="B1481"/>
    </row>
    <row r="1482" spans="1:2">
      <c r="A1482" s="55"/>
      <c r="B1482"/>
    </row>
    <row r="1483" spans="1:2">
      <c r="A1483" s="55"/>
      <c r="B1483"/>
    </row>
    <row r="1484" spans="1:2">
      <c r="A1484" s="55"/>
      <c r="B1484"/>
    </row>
    <row r="1485" spans="1:2">
      <c r="A1485" s="55"/>
      <c r="B1485"/>
    </row>
    <row r="1486" spans="1:2">
      <c r="A1486" s="55"/>
      <c r="B1486"/>
    </row>
    <row r="1487" spans="1:2">
      <c r="A1487" s="55"/>
      <c r="B1487"/>
    </row>
    <row r="1488" spans="1:2">
      <c r="A1488" s="55"/>
      <c r="B1488"/>
    </row>
    <row r="1489" spans="1:2">
      <c r="A1489" s="55"/>
      <c r="B1489"/>
    </row>
    <row r="1490" spans="1:2">
      <c r="A1490" s="55"/>
      <c r="B1490"/>
    </row>
    <row r="1491" spans="1:2">
      <c r="A1491" s="55"/>
      <c r="B1491"/>
    </row>
    <row r="1492" spans="1:2">
      <c r="A1492" s="55"/>
      <c r="B1492"/>
    </row>
    <row r="1493" spans="1:2">
      <c r="A1493" s="55"/>
      <c r="B1493"/>
    </row>
    <row r="1494" spans="1:2">
      <c r="A1494" s="55"/>
      <c r="B1494"/>
    </row>
    <row r="1495" spans="1:2">
      <c r="A1495" s="55"/>
      <c r="B1495"/>
    </row>
    <row r="1496" spans="1:2">
      <c r="A1496" s="55"/>
      <c r="B1496"/>
    </row>
    <row r="1497" spans="1:2">
      <c r="A1497" s="55"/>
      <c r="B1497"/>
    </row>
    <row r="1498" spans="1:2">
      <c r="A1498" s="55"/>
      <c r="B1498"/>
    </row>
    <row r="1499" spans="1:2">
      <c r="A1499" s="55"/>
      <c r="B1499"/>
    </row>
    <row r="1500" spans="1:2">
      <c r="A1500" s="55"/>
      <c r="B1500"/>
    </row>
    <row r="1501" spans="1:2">
      <c r="A1501" s="55"/>
      <c r="B1501"/>
    </row>
    <row r="1502" spans="1:2">
      <c r="A1502" s="55"/>
      <c r="B1502"/>
    </row>
    <row r="1503" spans="1:2">
      <c r="A1503" s="55"/>
      <c r="B1503"/>
    </row>
    <row r="1504" spans="1:2">
      <c r="A1504" s="55"/>
      <c r="B1504"/>
    </row>
    <row r="1505" spans="1:2">
      <c r="A1505" s="55"/>
      <c r="B1505"/>
    </row>
    <row r="1506" spans="1:2">
      <c r="A1506" s="55"/>
      <c r="B1506"/>
    </row>
    <row r="1507" spans="1:2">
      <c r="A1507" s="55"/>
      <c r="B1507"/>
    </row>
    <row r="1508" spans="1:2">
      <c r="A1508" s="55"/>
      <c r="B1508"/>
    </row>
    <row r="1509" spans="1:2">
      <c r="A1509" s="55"/>
      <c r="B1509"/>
    </row>
    <row r="1510" spans="1:2">
      <c r="A1510" s="55"/>
      <c r="B1510"/>
    </row>
    <row r="1511" spans="1:2">
      <c r="A1511" s="55"/>
      <c r="B1511"/>
    </row>
    <row r="1512" spans="1:2">
      <c r="A1512" s="55"/>
      <c r="B1512"/>
    </row>
    <row r="1513" spans="1:2">
      <c r="A1513" s="55"/>
      <c r="B1513"/>
    </row>
    <row r="1514" spans="1:2">
      <c r="A1514" s="55"/>
      <c r="B1514"/>
    </row>
    <row r="1515" spans="1:2">
      <c r="A1515" s="55"/>
      <c r="B1515"/>
    </row>
    <row r="1516" spans="1:2">
      <c r="A1516" s="55"/>
      <c r="B1516"/>
    </row>
    <row r="1517" spans="1:2">
      <c r="A1517" s="55"/>
      <c r="B1517"/>
    </row>
    <row r="1518" spans="1:2">
      <c r="A1518" s="55"/>
      <c r="B1518"/>
    </row>
    <row r="1519" spans="1:2">
      <c r="A1519" s="55"/>
      <c r="B1519"/>
    </row>
    <row r="1520" spans="1:2">
      <c r="A1520" s="55"/>
      <c r="B1520"/>
    </row>
    <row r="1521" spans="1:2">
      <c r="A1521" s="55"/>
      <c r="B1521"/>
    </row>
    <row r="1522" spans="1:2">
      <c r="A1522" s="55"/>
      <c r="B1522"/>
    </row>
    <row r="1523" spans="1:2">
      <c r="A1523" s="55"/>
      <c r="B1523"/>
    </row>
    <row r="1524" spans="1:2">
      <c r="A1524" s="55"/>
      <c r="B1524"/>
    </row>
    <row r="1525" spans="1:2">
      <c r="A1525" s="55"/>
      <c r="B1525"/>
    </row>
    <row r="1526" spans="1:2">
      <c r="A1526" s="55"/>
      <c r="B1526"/>
    </row>
    <row r="1527" spans="1:2">
      <c r="A1527" s="55"/>
      <c r="B1527"/>
    </row>
    <row r="1528" spans="1:2">
      <c r="A1528" s="55"/>
      <c r="B1528"/>
    </row>
    <row r="1529" spans="1:2">
      <c r="A1529" s="55"/>
      <c r="B1529"/>
    </row>
    <row r="1530" spans="1:2">
      <c r="A1530" s="55"/>
      <c r="B1530"/>
    </row>
    <row r="1531" spans="1:2">
      <c r="A1531" s="55"/>
      <c r="B1531"/>
    </row>
    <row r="1532" spans="1:2">
      <c r="A1532" s="55"/>
      <c r="B1532"/>
    </row>
    <row r="1533" spans="1:2">
      <c r="A1533" s="55"/>
      <c r="B1533"/>
    </row>
    <row r="1534" spans="1:2">
      <c r="A1534" s="55"/>
      <c r="B1534"/>
    </row>
    <row r="1535" spans="1:2">
      <c r="A1535" s="55"/>
      <c r="B1535"/>
    </row>
    <row r="1536" spans="1:2">
      <c r="A1536" s="55"/>
      <c r="B1536"/>
    </row>
    <row r="1537" spans="1:2">
      <c r="A1537" s="55"/>
      <c r="B1537"/>
    </row>
    <row r="1538" spans="1:2">
      <c r="A1538" s="55"/>
      <c r="B1538"/>
    </row>
    <row r="1539" spans="1:2">
      <c r="A1539" s="55"/>
      <c r="B1539"/>
    </row>
    <row r="1540" spans="1:2">
      <c r="A1540" s="55"/>
      <c r="B1540"/>
    </row>
    <row r="1541" spans="1:2">
      <c r="A1541" s="55"/>
      <c r="B1541"/>
    </row>
    <row r="1542" spans="1:2">
      <c r="A1542" s="55"/>
      <c r="B1542"/>
    </row>
    <row r="1543" spans="1:2">
      <c r="A1543" s="55"/>
      <c r="B1543"/>
    </row>
    <row r="1544" spans="1:2">
      <c r="A1544" s="55"/>
      <c r="B1544"/>
    </row>
    <row r="1545" spans="1:2">
      <c r="A1545" s="55"/>
      <c r="B1545"/>
    </row>
    <row r="1546" spans="1:2">
      <c r="A1546" s="55"/>
      <c r="B1546"/>
    </row>
    <row r="1547" spans="1:2">
      <c r="A1547" s="55"/>
      <c r="B1547"/>
    </row>
    <row r="1548" spans="1:2">
      <c r="A1548" s="55"/>
      <c r="B1548"/>
    </row>
    <row r="1549" spans="1:2">
      <c r="A1549" s="55"/>
      <c r="B1549"/>
    </row>
    <row r="1550" spans="1:2">
      <c r="A1550" s="55"/>
      <c r="B1550"/>
    </row>
    <row r="1551" spans="1:2">
      <c r="A1551" s="55"/>
      <c r="B1551"/>
    </row>
    <row r="1552" spans="1:2">
      <c r="A1552" s="55"/>
      <c r="B1552"/>
    </row>
    <row r="1553" spans="1:2">
      <c r="A1553" s="55"/>
      <c r="B1553"/>
    </row>
    <row r="1554" spans="1:2">
      <c r="A1554" s="55"/>
      <c r="B1554"/>
    </row>
    <row r="1555" spans="1:2">
      <c r="A1555" s="55"/>
      <c r="B1555"/>
    </row>
    <row r="1556" spans="1:2">
      <c r="A1556" s="55"/>
      <c r="B1556"/>
    </row>
    <row r="1557" spans="1:2">
      <c r="A1557" s="55"/>
      <c r="B1557"/>
    </row>
    <row r="1558" spans="1:2">
      <c r="A1558" s="55"/>
      <c r="B1558"/>
    </row>
    <row r="1559" spans="1:2">
      <c r="A1559" s="55"/>
      <c r="B1559"/>
    </row>
    <row r="1560" spans="1:2">
      <c r="A1560" s="55"/>
      <c r="B1560"/>
    </row>
    <row r="1561" spans="1:2">
      <c r="A1561" s="55"/>
      <c r="B1561"/>
    </row>
    <row r="1562" spans="1:2">
      <c r="A1562" s="55"/>
      <c r="B1562"/>
    </row>
    <row r="1563" spans="1:2">
      <c r="A1563" s="55"/>
      <c r="B1563"/>
    </row>
    <row r="1564" spans="1:2">
      <c r="A1564" s="55"/>
      <c r="B1564"/>
    </row>
    <row r="1565" spans="1:2">
      <c r="A1565" s="55"/>
      <c r="B1565"/>
    </row>
    <row r="1566" spans="1:2">
      <c r="A1566" s="55"/>
      <c r="B1566"/>
    </row>
    <row r="1567" spans="1:2">
      <c r="A1567" s="55"/>
      <c r="B1567"/>
    </row>
    <row r="1568" spans="1:2">
      <c r="A1568" s="55"/>
      <c r="B1568"/>
    </row>
    <row r="1569" spans="1:2">
      <c r="A1569" s="55"/>
      <c r="B1569"/>
    </row>
    <row r="1570" spans="1:2">
      <c r="A1570" s="55"/>
      <c r="B1570"/>
    </row>
    <row r="1571" spans="1:2">
      <c r="A1571" s="55"/>
      <c r="B1571"/>
    </row>
    <row r="1572" spans="1:2">
      <c r="A1572" s="55"/>
      <c r="B1572"/>
    </row>
    <row r="1573" spans="1:2">
      <c r="A1573" s="55"/>
      <c r="B1573"/>
    </row>
    <row r="1574" spans="1:2">
      <c r="A1574" s="55"/>
      <c r="B1574"/>
    </row>
    <row r="1575" spans="1:2">
      <c r="A1575" s="55"/>
      <c r="B1575"/>
    </row>
    <row r="1576" spans="1:2">
      <c r="A1576" s="55"/>
      <c r="B1576"/>
    </row>
    <row r="1577" spans="1:2">
      <c r="A1577" s="55"/>
      <c r="B1577"/>
    </row>
    <row r="1578" spans="1:2">
      <c r="A1578" s="55"/>
      <c r="B1578"/>
    </row>
    <row r="1579" spans="1:2">
      <c r="A1579" s="55"/>
      <c r="B1579"/>
    </row>
    <row r="1580" spans="1:2">
      <c r="A1580" s="55"/>
      <c r="B1580"/>
    </row>
    <row r="1581" spans="1:2">
      <c r="A1581" s="55"/>
      <c r="B1581"/>
    </row>
    <row r="1582" spans="1:2">
      <c r="A1582" s="55"/>
      <c r="B1582"/>
    </row>
    <row r="1583" spans="1:2">
      <c r="A1583" s="55"/>
      <c r="B1583"/>
    </row>
    <row r="1584" spans="1:2">
      <c r="A1584" s="55"/>
      <c r="B1584"/>
    </row>
    <row r="1585" spans="1:2">
      <c r="A1585" s="55"/>
      <c r="B1585"/>
    </row>
    <row r="1586" spans="1:2">
      <c r="A1586" s="55"/>
      <c r="B1586"/>
    </row>
    <row r="1587" spans="1:2">
      <c r="A1587" s="55"/>
      <c r="B1587"/>
    </row>
    <row r="1588" spans="1:2">
      <c r="A1588" s="55"/>
      <c r="B1588"/>
    </row>
    <row r="1589" spans="1:2">
      <c r="A1589" s="55"/>
      <c r="B1589"/>
    </row>
    <row r="1590" spans="1:2">
      <c r="A1590" s="55"/>
      <c r="B1590"/>
    </row>
    <row r="1591" spans="1:2">
      <c r="A1591" s="55"/>
      <c r="B1591"/>
    </row>
    <row r="1592" spans="1:2">
      <c r="A1592" s="55"/>
      <c r="B1592"/>
    </row>
    <row r="1593" spans="1:2">
      <c r="A1593" s="55"/>
      <c r="B1593"/>
    </row>
    <row r="1594" spans="1:2">
      <c r="A1594" s="55"/>
      <c r="B1594"/>
    </row>
    <row r="1595" spans="1:2">
      <c r="A1595" s="55"/>
      <c r="B1595"/>
    </row>
    <row r="1596" spans="1:2">
      <c r="A1596" s="55"/>
      <c r="B1596"/>
    </row>
    <row r="1597" spans="1:2">
      <c r="A1597" s="55"/>
      <c r="B1597"/>
    </row>
    <row r="1598" spans="1:2">
      <c r="A1598" s="55"/>
      <c r="B1598"/>
    </row>
    <row r="1599" spans="1:2">
      <c r="A1599" s="55"/>
      <c r="B1599"/>
    </row>
    <row r="1600" spans="1:2">
      <c r="A1600" s="55"/>
      <c r="B1600"/>
    </row>
    <row r="1601" spans="1:2">
      <c r="A1601" s="55"/>
      <c r="B1601"/>
    </row>
    <row r="1602" spans="1:2">
      <c r="A1602" s="55"/>
      <c r="B1602"/>
    </row>
    <row r="1603" spans="1:2">
      <c r="A1603" s="55"/>
      <c r="B1603"/>
    </row>
    <row r="1604" spans="1:2">
      <c r="A1604" s="55"/>
      <c r="B1604"/>
    </row>
    <row r="1605" spans="1:2">
      <c r="A1605" s="55"/>
      <c r="B1605"/>
    </row>
    <row r="1606" spans="1:2">
      <c r="A1606" s="55"/>
      <c r="B1606"/>
    </row>
    <row r="1607" spans="1:2">
      <c r="A1607" s="55"/>
      <c r="B1607"/>
    </row>
    <row r="1608" spans="1:2">
      <c r="A1608" s="55"/>
      <c r="B1608"/>
    </row>
    <row r="1609" spans="1:2">
      <c r="A1609" s="55"/>
      <c r="B1609"/>
    </row>
    <row r="1610" spans="1:2">
      <c r="A1610" s="55"/>
      <c r="B1610"/>
    </row>
    <row r="1611" spans="1:2">
      <c r="A1611" s="55"/>
      <c r="B1611"/>
    </row>
    <row r="1612" spans="1:2">
      <c r="A1612" s="55"/>
      <c r="B1612"/>
    </row>
    <row r="1613" spans="1:2">
      <c r="A1613" s="55"/>
      <c r="B1613"/>
    </row>
    <row r="1614" spans="1:2">
      <c r="A1614" s="55"/>
      <c r="B1614"/>
    </row>
    <row r="1615" spans="1:2">
      <c r="A1615" s="55"/>
      <c r="B1615"/>
    </row>
    <row r="1616" spans="1:2">
      <c r="A1616" s="55"/>
      <c r="B1616"/>
    </row>
    <row r="1617" spans="1:2">
      <c r="A1617" s="55"/>
      <c r="B1617"/>
    </row>
    <row r="1618" spans="1:2">
      <c r="A1618" s="55"/>
      <c r="B1618"/>
    </row>
    <row r="1619" spans="1:2">
      <c r="A1619" s="55"/>
      <c r="B1619"/>
    </row>
    <row r="1620" spans="1:2">
      <c r="A1620" s="55"/>
      <c r="B1620"/>
    </row>
    <row r="1621" spans="1:2">
      <c r="A1621" s="55"/>
      <c r="B1621"/>
    </row>
    <row r="1622" spans="1:2">
      <c r="A1622" s="55"/>
      <c r="B1622"/>
    </row>
    <row r="1623" spans="1:2">
      <c r="A1623" s="55"/>
      <c r="B1623"/>
    </row>
    <row r="1624" spans="1:2">
      <c r="A1624" s="55"/>
      <c r="B1624"/>
    </row>
    <row r="1625" spans="1:2">
      <c r="A1625" s="55"/>
      <c r="B1625"/>
    </row>
    <row r="1626" spans="1:2">
      <c r="A1626" s="55"/>
      <c r="B1626"/>
    </row>
    <row r="1627" spans="1:2">
      <c r="A1627" s="55"/>
      <c r="B1627"/>
    </row>
    <row r="1628" spans="1:2">
      <c r="A1628" s="55"/>
      <c r="B1628"/>
    </row>
    <row r="1629" spans="1:2">
      <c r="A1629" s="55"/>
      <c r="B1629"/>
    </row>
    <row r="1630" spans="1:2">
      <c r="A1630" s="55"/>
      <c r="B1630"/>
    </row>
    <row r="1631" spans="1:2">
      <c r="A1631" s="55"/>
      <c r="B1631"/>
    </row>
    <row r="1632" spans="1:2">
      <c r="A1632" s="55"/>
      <c r="B1632"/>
    </row>
    <row r="1633" spans="1:2">
      <c r="A1633" s="55"/>
      <c r="B1633"/>
    </row>
    <row r="1634" spans="1:2">
      <c r="A1634" s="55"/>
      <c r="B1634"/>
    </row>
    <row r="1635" spans="1:2">
      <c r="A1635" s="55"/>
      <c r="B1635"/>
    </row>
    <row r="1636" spans="1:2">
      <c r="A1636" s="55"/>
      <c r="B1636"/>
    </row>
    <row r="1637" spans="1:2">
      <c r="A1637" s="55"/>
      <c r="B1637"/>
    </row>
    <row r="1638" spans="1:2">
      <c r="A1638" s="55"/>
      <c r="B1638"/>
    </row>
    <row r="1639" spans="1:2">
      <c r="A1639" s="55"/>
      <c r="B1639"/>
    </row>
    <row r="1640" spans="1:2">
      <c r="A1640" s="55"/>
      <c r="B1640"/>
    </row>
    <row r="1641" spans="1:2">
      <c r="A1641" s="55"/>
      <c r="B1641"/>
    </row>
    <row r="1642" spans="1:2">
      <c r="A1642" s="55"/>
      <c r="B1642"/>
    </row>
    <row r="1643" spans="1:2">
      <c r="A1643" s="55"/>
      <c r="B1643"/>
    </row>
    <row r="1644" spans="1:2">
      <c r="A1644" s="55"/>
      <c r="B1644"/>
    </row>
    <row r="1645" spans="1:2">
      <c r="A1645" s="55"/>
      <c r="B1645"/>
    </row>
    <row r="1646" spans="1:2">
      <c r="A1646" s="55"/>
      <c r="B1646"/>
    </row>
    <row r="1647" spans="1:2">
      <c r="A1647" s="55"/>
      <c r="B1647"/>
    </row>
    <row r="1648" spans="1:2">
      <c r="A1648" s="55"/>
      <c r="B1648"/>
    </row>
    <row r="1649" spans="1:2">
      <c r="A1649" s="55"/>
      <c r="B1649"/>
    </row>
    <row r="1650" spans="1:2">
      <c r="A1650" s="55"/>
      <c r="B1650"/>
    </row>
    <row r="1651" spans="1:2">
      <c r="A1651" s="55"/>
      <c r="B1651"/>
    </row>
    <row r="1652" spans="1:2">
      <c r="A1652" s="55"/>
      <c r="B1652"/>
    </row>
    <row r="1653" spans="1:2">
      <c r="A1653" s="55"/>
      <c r="B1653"/>
    </row>
    <row r="1654" spans="1:2">
      <c r="A1654" s="55"/>
      <c r="B1654"/>
    </row>
    <row r="1655" spans="1:2">
      <c r="A1655" s="55"/>
      <c r="B1655"/>
    </row>
    <row r="1656" spans="1:2">
      <c r="A1656" s="55"/>
      <c r="B1656"/>
    </row>
    <row r="1657" spans="1:2">
      <c r="A1657" s="55"/>
      <c r="B1657"/>
    </row>
    <row r="1658" spans="1:2">
      <c r="A1658" s="55"/>
      <c r="B1658"/>
    </row>
    <row r="1659" spans="1:2">
      <c r="A1659" s="55"/>
      <c r="B1659"/>
    </row>
    <row r="1660" spans="1:2">
      <c r="A1660" s="55"/>
      <c r="B1660"/>
    </row>
    <row r="1661" spans="1:2">
      <c r="A1661" s="55"/>
      <c r="B1661"/>
    </row>
    <row r="1662" spans="1:2">
      <c r="A1662" s="55"/>
      <c r="B1662"/>
    </row>
    <row r="1663" spans="1:2">
      <c r="A1663" s="55"/>
      <c r="B1663"/>
    </row>
    <row r="1664" spans="1:2">
      <c r="A1664" s="55"/>
      <c r="B1664"/>
    </row>
    <row r="1665" spans="1:2">
      <c r="A1665" s="55"/>
      <c r="B1665"/>
    </row>
    <row r="1666" spans="1:2">
      <c r="A1666" s="55"/>
      <c r="B1666"/>
    </row>
    <row r="1667" spans="1:2">
      <c r="A1667" s="55"/>
      <c r="B1667"/>
    </row>
    <row r="1668" spans="1:2">
      <c r="A1668" s="55"/>
      <c r="B1668"/>
    </row>
    <row r="1669" spans="1:2">
      <c r="A1669" s="55"/>
      <c r="B1669"/>
    </row>
    <row r="1670" spans="1:2">
      <c r="A1670" s="55"/>
      <c r="B1670"/>
    </row>
    <row r="1671" spans="1:2">
      <c r="A1671" s="55"/>
      <c r="B1671"/>
    </row>
    <row r="1672" spans="1:2">
      <c r="A1672" s="55"/>
      <c r="B1672"/>
    </row>
    <row r="1673" spans="1:2">
      <c r="A1673" s="55"/>
      <c r="B1673"/>
    </row>
    <row r="1674" spans="1:2">
      <c r="A1674" s="55"/>
      <c r="B1674"/>
    </row>
    <row r="1675" spans="1:2">
      <c r="A1675" s="55"/>
      <c r="B1675"/>
    </row>
    <row r="1676" spans="1:2">
      <c r="A1676" s="55"/>
      <c r="B1676"/>
    </row>
    <row r="1677" spans="1:2">
      <c r="A1677" s="55"/>
      <c r="B1677"/>
    </row>
    <row r="1678" spans="1:2">
      <c r="A1678" s="55"/>
      <c r="B1678"/>
    </row>
    <row r="1679" spans="1:2">
      <c r="A1679" s="55"/>
      <c r="B1679"/>
    </row>
    <row r="1680" spans="1:2">
      <c r="A1680" s="55"/>
      <c r="B1680"/>
    </row>
    <row r="1681" spans="1:2">
      <c r="A1681" s="55"/>
      <c r="B1681"/>
    </row>
    <row r="1682" spans="1:2">
      <c r="A1682" s="55"/>
      <c r="B1682"/>
    </row>
    <row r="1683" spans="1:2">
      <c r="A1683" s="55"/>
      <c r="B1683"/>
    </row>
    <row r="1684" spans="1:2">
      <c r="A1684" s="55"/>
      <c r="B1684"/>
    </row>
    <row r="1685" spans="1:2">
      <c r="A1685" s="55"/>
      <c r="B1685"/>
    </row>
    <row r="1686" spans="1:2">
      <c r="A1686" s="55"/>
      <c r="B1686"/>
    </row>
    <row r="1687" spans="1:2">
      <c r="A1687" s="55"/>
      <c r="B1687"/>
    </row>
    <row r="1688" spans="1:2">
      <c r="A1688" s="55"/>
      <c r="B1688"/>
    </row>
    <row r="1689" spans="1:2">
      <c r="A1689" s="55"/>
      <c r="B1689"/>
    </row>
    <row r="1690" spans="1:2">
      <c r="A1690" s="55"/>
      <c r="B1690"/>
    </row>
    <row r="1691" spans="1:2">
      <c r="A1691" s="55"/>
      <c r="B1691"/>
    </row>
    <row r="1692" spans="1:2">
      <c r="A1692" s="55"/>
      <c r="B1692"/>
    </row>
    <row r="1693" spans="1:2">
      <c r="A1693" s="55"/>
      <c r="B1693"/>
    </row>
    <row r="1694" spans="1:2">
      <c r="A1694" s="55"/>
      <c r="B1694"/>
    </row>
    <row r="1695" spans="1:2">
      <c r="A1695" s="55"/>
      <c r="B1695"/>
    </row>
    <row r="1696" spans="1:2">
      <c r="A1696" s="55"/>
      <c r="B1696"/>
    </row>
    <row r="1697" spans="1:2">
      <c r="A1697" s="55"/>
      <c r="B1697"/>
    </row>
    <row r="1698" spans="1:2">
      <c r="A1698" s="55"/>
      <c r="B1698"/>
    </row>
    <row r="1699" spans="1:2">
      <c r="A1699" s="55"/>
      <c r="B1699"/>
    </row>
    <row r="1700" spans="1:2">
      <c r="A1700" s="55"/>
      <c r="B1700"/>
    </row>
    <row r="1701" spans="1:2">
      <c r="A1701" s="55"/>
      <c r="B1701"/>
    </row>
    <row r="1702" spans="1:2">
      <c r="A1702" s="55"/>
      <c r="B1702"/>
    </row>
    <row r="1703" spans="1:2">
      <c r="A1703" s="55"/>
      <c r="B1703"/>
    </row>
    <row r="1704" spans="1:2">
      <c r="A1704" s="55"/>
      <c r="B1704"/>
    </row>
    <row r="1705" spans="1:2">
      <c r="A1705" s="55"/>
      <c r="B1705"/>
    </row>
    <row r="1706" spans="1:2">
      <c r="A1706" s="55"/>
      <c r="B1706"/>
    </row>
    <row r="1707" spans="1:2">
      <c r="A1707" s="55"/>
      <c r="B1707"/>
    </row>
    <row r="1708" spans="1:2">
      <c r="A1708" s="55"/>
      <c r="B1708"/>
    </row>
    <row r="1709" spans="1:2">
      <c r="A1709" s="55"/>
      <c r="B1709"/>
    </row>
    <row r="1710" spans="1:2">
      <c r="A1710" s="55"/>
      <c r="B1710"/>
    </row>
    <row r="1711" spans="1:2">
      <c r="A1711" s="55"/>
      <c r="B1711"/>
    </row>
    <row r="1712" spans="1:2">
      <c r="A1712" s="55"/>
      <c r="B1712"/>
    </row>
    <row r="1713" spans="1:2">
      <c r="A1713" s="55"/>
      <c r="B1713"/>
    </row>
    <row r="1714" spans="1:2">
      <c r="A1714" s="55"/>
      <c r="B1714"/>
    </row>
    <row r="1715" spans="1:2">
      <c r="A1715" s="55"/>
      <c r="B1715"/>
    </row>
    <row r="1716" spans="1:2">
      <c r="A1716" s="55"/>
      <c r="B1716"/>
    </row>
    <row r="1717" spans="1:2">
      <c r="A1717" s="55"/>
      <c r="B1717"/>
    </row>
    <row r="1718" spans="1:2">
      <c r="A1718" s="55"/>
      <c r="B1718"/>
    </row>
    <row r="1719" spans="1:2">
      <c r="A1719" s="55"/>
      <c r="B1719"/>
    </row>
    <row r="1720" spans="1:2">
      <c r="A1720" s="55"/>
      <c r="B1720"/>
    </row>
    <row r="1721" spans="1:2">
      <c r="A1721" s="55"/>
      <c r="B1721"/>
    </row>
    <row r="1722" spans="1:2">
      <c r="A1722" s="55"/>
      <c r="B1722"/>
    </row>
    <row r="1723" spans="1:2">
      <c r="A1723" s="55"/>
      <c r="B1723"/>
    </row>
    <row r="1724" spans="1:2">
      <c r="A1724" s="55"/>
      <c r="B1724"/>
    </row>
    <row r="1725" spans="1:2">
      <c r="A1725" s="55"/>
      <c r="B1725"/>
    </row>
    <row r="1726" spans="1:2">
      <c r="A1726" s="55"/>
      <c r="B1726"/>
    </row>
    <row r="1727" spans="1:2">
      <c r="A1727" s="55"/>
      <c r="B1727"/>
    </row>
    <row r="1728" spans="1:2">
      <c r="A1728" s="55"/>
      <c r="B1728"/>
    </row>
    <row r="1729" spans="1:2">
      <c r="A1729" s="55"/>
      <c r="B1729"/>
    </row>
    <row r="1730" spans="1:2">
      <c r="A1730" s="55"/>
      <c r="B1730"/>
    </row>
    <row r="1731" spans="1:2">
      <c r="A1731" s="55"/>
      <c r="B1731"/>
    </row>
    <row r="1732" spans="1:2">
      <c r="A1732" s="55"/>
      <c r="B1732"/>
    </row>
    <row r="1733" spans="1:2">
      <c r="A1733" s="55"/>
      <c r="B1733"/>
    </row>
    <row r="1734" spans="1:2">
      <c r="A1734" s="55"/>
      <c r="B1734"/>
    </row>
    <row r="1735" spans="1:2">
      <c r="A1735" s="55"/>
      <c r="B1735"/>
    </row>
    <row r="1736" spans="1:2">
      <c r="A1736" s="55"/>
      <c r="B1736"/>
    </row>
    <row r="1737" spans="1:2">
      <c r="A1737" s="55"/>
      <c r="B1737"/>
    </row>
    <row r="1738" spans="1:2">
      <c r="A1738" s="55"/>
      <c r="B1738"/>
    </row>
    <row r="1739" spans="1:2">
      <c r="A1739" s="55"/>
      <c r="B1739"/>
    </row>
    <row r="1740" spans="1:2">
      <c r="A1740" s="55"/>
      <c r="B1740"/>
    </row>
    <row r="1741" spans="1:2">
      <c r="A1741" s="55"/>
      <c r="B1741"/>
    </row>
    <row r="1742" spans="1:2">
      <c r="A1742" s="55"/>
      <c r="B1742"/>
    </row>
    <row r="1743" spans="1:2">
      <c r="A1743" s="55"/>
      <c r="B1743"/>
    </row>
    <row r="1744" spans="1:2">
      <c r="A1744" s="55"/>
      <c r="B1744"/>
    </row>
    <row r="1745" spans="1:2">
      <c r="A1745" s="55"/>
      <c r="B1745"/>
    </row>
    <row r="1746" spans="1:2">
      <c r="A1746" s="55"/>
      <c r="B1746"/>
    </row>
    <row r="1747" spans="1:2">
      <c r="A1747" s="55"/>
      <c r="B1747"/>
    </row>
    <row r="1748" spans="1:2">
      <c r="A1748" s="55"/>
      <c r="B1748"/>
    </row>
    <row r="1749" spans="1:2">
      <c r="A1749" s="55"/>
      <c r="B1749"/>
    </row>
    <row r="1750" spans="1:2">
      <c r="A1750" s="55"/>
      <c r="B1750"/>
    </row>
    <row r="1751" spans="1:2">
      <c r="A1751" s="55"/>
      <c r="B1751"/>
    </row>
    <row r="1752" spans="1:2">
      <c r="A1752" s="55"/>
      <c r="B1752"/>
    </row>
    <row r="1753" spans="1:2">
      <c r="A1753" s="55"/>
      <c r="B1753"/>
    </row>
    <row r="1754" spans="1:2">
      <c r="A1754" s="55"/>
      <c r="B1754"/>
    </row>
    <row r="1755" spans="1:2">
      <c r="A1755" s="55"/>
      <c r="B1755"/>
    </row>
    <row r="1756" spans="1:2">
      <c r="A1756" s="55"/>
      <c r="B1756"/>
    </row>
    <row r="1757" spans="1:2">
      <c r="A1757" s="55"/>
      <c r="B1757"/>
    </row>
    <row r="1758" spans="1:2">
      <c r="A1758" s="55"/>
      <c r="B1758"/>
    </row>
    <row r="1759" spans="1:2">
      <c r="A1759" s="55"/>
      <c r="B1759"/>
    </row>
    <row r="1760" spans="1:2">
      <c r="A1760" s="55"/>
      <c r="B1760"/>
    </row>
    <row r="1761" spans="1:2">
      <c r="A1761" s="55"/>
      <c r="B1761"/>
    </row>
    <row r="1762" spans="1:2">
      <c r="A1762" s="55"/>
      <c r="B1762"/>
    </row>
    <row r="1763" spans="1:2">
      <c r="A1763" s="55"/>
      <c r="B1763"/>
    </row>
    <row r="1764" spans="1:2">
      <c r="A1764" s="55"/>
      <c r="B1764"/>
    </row>
    <row r="1765" spans="1:2">
      <c r="A1765" s="55"/>
      <c r="B1765"/>
    </row>
    <row r="1766" spans="1:2">
      <c r="A1766" s="55"/>
      <c r="B1766"/>
    </row>
    <row r="1767" spans="1:2">
      <c r="A1767" s="55"/>
      <c r="B1767"/>
    </row>
    <row r="1768" spans="1:2">
      <c r="A1768" s="55"/>
      <c r="B1768"/>
    </row>
    <row r="1769" spans="1:2">
      <c r="A1769" s="55"/>
      <c r="B1769"/>
    </row>
    <row r="1770" spans="1:2">
      <c r="A1770" s="55"/>
      <c r="B1770"/>
    </row>
    <row r="1771" spans="1:2">
      <c r="A1771" s="55"/>
      <c r="B1771"/>
    </row>
    <row r="1772" spans="1:2">
      <c r="A1772" s="55"/>
      <c r="B1772"/>
    </row>
    <row r="1773" spans="1:2">
      <c r="A1773" s="55"/>
      <c r="B1773"/>
    </row>
    <row r="1774" spans="1:2">
      <c r="A1774" s="55"/>
      <c r="B1774"/>
    </row>
    <row r="1775" spans="1:2">
      <c r="A1775" s="55"/>
      <c r="B1775"/>
    </row>
    <row r="1776" spans="1:2">
      <c r="A1776" s="55"/>
      <c r="B1776"/>
    </row>
    <row r="1777" spans="1:2">
      <c r="A1777" s="55"/>
      <c r="B1777"/>
    </row>
    <row r="1778" spans="1:2">
      <c r="A1778" s="55"/>
      <c r="B1778"/>
    </row>
    <row r="1779" spans="1:2">
      <c r="A1779" s="55"/>
      <c r="B1779"/>
    </row>
    <row r="1780" spans="1:2">
      <c r="A1780" s="55"/>
      <c r="B1780"/>
    </row>
    <row r="1781" spans="1:2">
      <c r="A1781" s="55"/>
      <c r="B1781"/>
    </row>
    <row r="1782" spans="1:2">
      <c r="A1782" s="55"/>
      <c r="B1782"/>
    </row>
    <row r="1783" spans="1:2">
      <c r="A1783" s="55"/>
      <c r="B1783"/>
    </row>
    <row r="1784" spans="1:2">
      <c r="A1784" s="55"/>
      <c r="B1784"/>
    </row>
    <row r="1785" spans="1:2">
      <c r="A1785" s="55"/>
      <c r="B1785"/>
    </row>
    <row r="1786" spans="1:2">
      <c r="A1786" s="55"/>
      <c r="B1786"/>
    </row>
    <row r="1787" spans="1:2">
      <c r="A1787" s="55"/>
      <c r="B1787"/>
    </row>
    <row r="1788" spans="1:2">
      <c r="A1788" s="55"/>
      <c r="B1788"/>
    </row>
    <row r="1789" spans="1:2">
      <c r="A1789" s="55"/>
      <c r="B1789"/>
    </row>
    <row r="1790" spans="1:2">
      <c r="A1790" s="55"/>
      <c r="B1790"/>
    </row>
    <row r="1791" spans="1:2">
      <c r="A1791" s="55"/>
      <c r="B1791"/>
    </row>
    <row r="1792" spans="1:2">
      <c r="A1792" s="55"/>
      <c r="B1792"/>
    </row>
    <row r="1793" spans="1:2">
      <c r="A1793" s="55"/>
      <c r="B1793"/>
    </row>
    <row r="1794" spans="1:2">
      <c r="A1794" s="55"/>
      <c r="B1794"/>
    </row>
    <row r="1795" spans="1:2">
      <c r="A1795" s="55"/>
      <c r="B1795"/>
    </row>
    <row r="1796" spans="1:2">
      <c r="A1796" s="55"/>
      <c r="B1796"/>
    </row>
    <row r="1797" spans="1:2">
      <c r="A1797" s="55"/>
      <c r="B1797"/>
    </row>
    <row r="1798" spans="1:2">
      <c r="A1798" s="55"/>
      <c r="B1798"/>
    </row>
    <row r="1799" spans="1:2">
      <c r="A1799" s="55"/>
      <c r="B1799"/>
    </row>
    <row r="1800" spans="1:2">
      <c r="A1800" s="55"/>
      <c r="B1800"/>
    </row>
    <row r="1801" spans="1:2">
      <c r="A1801" s="55"/>
      <c r="B1801"/>
    </row>
    <row r="1802" spans="1:2">
      <c r="A1802" s="55"/>
      <c r="B1802"/>
    </row>
    <row r="1803" spans="1:2">
      <c r="A1803" s="55"/>
      <c r="B1803"/>
    </row>
    <row r="1804" spans="1:2">
      <c r="A1804" s="55"/>
      <c r="B1804"/>
    </row>
    <row r="1805" spans="1:2">
      <c r="A1805" s="55"/>
      <c r="B1805"/>
    </row>
    <row r="1806" spans="1:2">
      <c r="A1806" s="55"/>
      <c r="B1806"/>
    </row>
    <row r="1807" spans="1:2">
      <c r="A1807" s="55"/>
      <c r="B1807"/>
    </row>
    <row r="1808" spans="1:2">
      <c r="A1808" s="55"/>
      <c r="B1808"/>
    </row>
    <row r="1809" spans="1:2">
      <c r="A1809" s="55"/>
      <c r="B1809"/>
    </row>
    <row r="1810" spans="1:2">
      <c r="A1810" s="55"/>
      <c r="B1810"/>
    </row>
    <row r="1811" spans="1:2">
      <c r="A1811" s="55"/>
      <c r="B1811"/>
    </row>
    <row r="1812" spans="1:2">
      <c r="A1812" s="55"/>
      <c r="B1812"/>
    </row>
    <row r="1813" spans="1:2">
      <c r="A1813" s="55"/>
      <c r="B1813"/>
    </row>
    <row r="1814" spans="1:2">
      <c r="A1814" s="55"/>
      <c r="B1814"/>
    </row>
    <row r="1815" spans="1:2">
      <c r="A1815" s="55"/>
      <c r="B1815"/>
    </row>
    <row r="1816" spans="1:2">
      <c r="A1816" s="55"/>
      <c r="B1816"/>
    </row>
    <row r="1817" spans="1:2">
      <c r="A1817" s="55"/>
      <c r="B1817"/>
    </row>
    <row r="1818" spans="1:2">
      <c r="A1818" s="55"/>
      <c r="B1818"/>
    </row>
    <row r="1819" spans="1:2">
      <c r="A1819" s="55"/>
      <c r="B1819"/>
    </row>
    <row r="1820" spans="1:2">
      <c r="A1820" s="55"/>
      <c r="B1820"/>
    </row>
    <row r="1821" spans="1:2">
      <c r="A1821" s="55"/>
      <c r="B1821"/>
    </row>
    <row r="1822" spans="1:2">
      <c r="A1822" s="55"/>
      <c r="B1822"/>
    </row>
    <row r="1823" spans="1:2">
      <c r="A1823" s="55"/>
      <c r="B1823"/>
    </row>
    <row r="1824" spans="1:2">
      <c r="A1824" s="55"/>
      <c r="B1824"/>
    </row>
    <row r="1825" spans="1:2">
      <c r="A1825" s="55"/>
      <c r="B1825"/>
    </row>
    <row r="1826" spans="1:2">
      <c r="A1826" s="55"/>
      <c r="B1826"/>
    </row>
    <row r="1827" spans="1:2">
      <c r="A1827" s="55"/>
      <c r="B1827"/>
    </row>
    <row r="1828" spans="1:2">
      <c r="A1828" s="55"/>
      <c r="B1828"/>
    </row>
    <row r="1829" spans="1:2">
      <c r="A1829" s="55"/>
      <c r="B1829"/>
    </row>
    <row r="1830" spans="1:2">
      <c r="A1830" s="55"/>
      <c r="B1830"/>
    </row>
    <row r="1831" spans="1:2">
      <c r="A1831" s="55"/>
      <c r="B1831"/>
    </row>
    <row r="1832" spans="1:2">
      <c r="A1832" s="55"/>
      <c r="B1832"/>
    </row>
    <row r="1833" spans="1:2">
      <c r="A1833" s="55"/>
      <c r="B1833"/>
    </row>
    <row r="1834" spans="1:2">
      <c r="A1834" s="55"/>
      <c r="B1834"/>
    </row>
    <row r="1835" spans="1:2">
      <c r="A1835" s="55"/>
      <c r="B1835"/>
    </row>
    <row r="1836" spans="1:2">
      <c r="A1836" s="55"/>
      <c r="B1836"/>
    </row>
    <row r="1837" spans="1:2">
      <c r="A1837" s="55"/>
      <c r="B1837"/>
    </row>
    <row r="1838" spans="1:2">
      <c r="A1838" s="55"/>
      <c r="B1838"/>
    </row>
    <row r="1839" spans="1:2">
      <c r="A1839" s="55"/>
      <c r="B1839"/>
    </row>
    <row r="1840" spans="1:2">
      <c r="A1840" s="55"/>
      <c r="B1840"/>
    </row>
    <row r="1841" spans="1:2">
      <c r="A1841" s="55"/>
      <c r="B1841"/>
    </row>
    <row r="1842" spans="1:2">
      <c r="A1842" s="55"/>
      <c r="B1842"/>
    </row>
    <row r="1843" spans="1:2">
      <c r="A1843" s="55"/>
      <c r="B1843"/>
    </row>
    <row r="1844" spans="1:2">
      <c r="A1844" s="55"/>
      <c r="B1844"/>
    </row>
    <row r="1845" spans="1:2">
      <c r="A1845" s="55"/>
      <c r="B1845"/>
    </row>
    <row r="1846" spans="1:2">
      <c r="A1846" s="55"/>
      <c r="B1846"/>
    </row>
    <row r="1847" spans="1:2">
      <c r="A1847" s="55"/>
      <c r="B1847"/>
    </row>
    <row r="1848" spans="1:2">
      <c r="A1848" s="55"/>
      <c r="B1848"/>
    </row>
    <row r="1849" spans="1:2">
      <c r="A1849" s="55"/>
      <c r="B1849"/>
    </row>
    <row r="1850" spans="1:2">
      <c r="A1850" s="55"/>
      <c r="B1850"/>
    </row>
    <row r="1851" spans="1:2">
      <c r="A1851" s="55"/>
      <c r="B1851"/>
    </row>
    <row r="1852" spans="1:2">
      <c r="A1852" s="55"/>
      <c r="B1852"/>
    </row>
    <row r="1853" spans="1:2">
      <c r="A1853" s="55"/>
      <c r="B1853"/>
    </row>
    <row r="1854" spans="1:2">
      <c r="A1854" s="55"/>
      <c r="B1854"/>
    </row>
    <row r="1855" spans="1:2">
      <c r="A1855" s="55"/>
      <c r="B1855"/>
    </row>
    <row r="1856" spans="1:2">
      <c r="A1856" s="55"/>
      <c r="B1856"/>
    </row>
    <row r="1857" spans="1:2">
      <c r="A1857" s="55"/>
      <c r="B1857"/>
    </row>
    <row r="1858" spans="1:2">
      <c r="A1858" s="55"/>
      <c r="B1858"/>
    </row>
    <row r="1859" spans="1:2">
      <c r="A1859" s="55"/>
      <c r="B1859"/>
    </row>
    <row r="1860" spans="1:2">
      <c r="A1860" s="55"/>
      <c r="B1860"/>
    </row>
    <row r="1861" spans="1:2">
      <c r="A1861" s="55"/>
      <c r="B1861"/>
    </row>
    <row r="1862" spans="1:2">
      <c r="A1862" s="55"/>
      <c r="B1862"/>
    </row>
    <row r="1863" spans="1:2">
      <c r="A1863" s="55"/>
      <c r="B1863"/>
    </row>
    <row r="1864" spans="1:2">
      <c r="A1864" s="55"/>
      <c r="B1864"/>
    </row>
    <row r="1865" spans="1:2">
      <c r="A1865" s="55"/>
      <c r="B1865"/>
    </row>
    <row r="1866" spans="1:2">
      <c r="A1866" s="55"/>
      <c r="B1866"/>
    </row>
    <row r="1867" spans="1:2">
      <c r="A1867" s="55"/>
      <c r="B1867"/>
    </row>
    <row r="1868" spans="1:2">
      <c r="A1868" s="55"/>
      <c r="B1868"/>
    </row>
    <row r="1869" spans="1:2">
      <c r="A1869" s="55"/>
      <c r="B1869"/>
    </row>
    <row r="1870" spans="1:2">
      <c r="A1870" s="55"/>
      <c r="B1870"/>
    </row>
    <row r="1871" spans="1:2">
      <c r="A1871" s="55"/>
      <c r="B1871"/>
    </row>
    <row r="1872" spans="1:2">
      <c r="A1872" s="55"/>
      <c r="B1872"/>
    </row>
    <row r="1873" spans="1:2">
      <c r="A1873" s="55"/>
      <c r="B1873"/>
    </row>
    <row r="1874" spans="1:2">
      <c r="A1874" s="55"/>
      <c r="B1874"/>
    </row>
    <row r="1875" spans="1:2">
      <c r="A1875" s="55"/>
      <c r="B1875"/>
    </row>
    <row r="1876" spans="1:2">
      <c r="A1876" s="55"/>
      <c r="B1876"/>
    </row>
    <row r="1877" spans="1:2">
      <c r="A1877" s="55"/>
      <c r="B1877"/>
    </row>
    <row r="1878" spans="1:2">
      <c r="A1878" s="55"/>
      <c r="B1878"/>
    </row>
    <row r="1879" spans="1:2">
      <c r="A1879" s="55"/>
      <c r="B1879"/>
    </row>
    <row r="1880" spans="1:2">
      <c r="A1880" s="55"/>
      <c r="B1880"/>
    </row>
    <row r="1881" spans="1:2">
      <c r="A1881" s="55"/>
      <c r="B1881"/>
    </row>
    <row r="1882" spans="1:2">
      <c r="A1882" s="55"/>
      <c r="B1882"/>
    </row>
    <row r="1883" spans="1:2">
      <c r="A1883" s="55"/>
      <c r="B1883"/>
    </row>
    <row r="1884" spans="1:2">
      <c r="A1884" s="55"/>
      <c r="B1884"/>
    </row>
    <row r="1885" spans="1:2">
      <c r="A1885" s="55"/>
      <c r="B1885"/>
    </row>
    <row r="1886" spans="1:2">
      <c r="A1886" s="55"/>
      <c r="B1886"/>
    </row>
    <row r="1887" spans="1:2">
      <c r="A1887" s="55"/>
      <c r="B1887"/>
    </row>
    <row r="1888" spans="1:2">
      <c r="A1888" s="55"/>
      <c r="B1888"/>
    </row>
    <row r="1889" spans="1:2">
      <c r="A1889" s="55"/>
      <c r="B1889"/>
    </row>
    <row r="1890" spans="1:2">
      <c r="A1890" s="55"/>
      <c r="B1890"/>
    </row>
    <row r="1891" spans="1:2">
      <c r="A1891" s="55"/>
      <c r="B1891"/>
    </row>
    <row r="1892" spans="1:2">
      <c r="A1892" s="55"/>
      <c r="B1892"/>
    </row>
    <row r="1893" spans="1:2">
      <c r="A1893" s="55"/>
      <c r="B1893"/>
    </row>
    <row r="1894" spans="1:2">
      <c r="A1894" s="55"/>
      <c r="B1894"/>
    </row>
    <row r="1895" spans="1:2">
      <c r="A1895" s="55"/>
      <c r="B1895"/>
    </row>
    <row r="1896" spans="1:2">
      <c r="A1896" s="55"/>
      <c r="B1896"/>
    </row>
    <row r="1897" spans="1:2">
      <c r="A1897" s="55"/>
      <c r="B1897"/>
    </row>
    <row r="1898" spans="1:2">
      <c r="A1898" s="55"/>
      <c r="B1898"/>
    </row>
    <row r="1899" spans="1:2">
      <c r="A1899" s="55"/>
      <c r="B1899"/>
    </row>
    <row r="1900" spans="1:2">
      <c r="A1900" s="55"/>
      <c r="B1900"/>
    </row>
    <row r="1901" spans="1:2">
      <c r="A1901" s="55"/>
      <c r="B1901"/>
    </row>
    <row r="1902" spans="1:2">
      <c r="A1902" s="55"/>
      <c r="B1902"/>
    </row>
    <row r="1903" spans="1:2">
      <c r="A1903" s="55"/>
      <c r="B1903"/>
    </row>
    <row r="1904" spans="1:2">
      <c r="A1904" s="55"/>
      <c r="B1904"/>
    </row>
    <row r="1905" spans="1:2">
      <c r="A1905" s="55"/>
      <c r="B1905"/>
    </row>
    <row r="1906" spans="1:2">
      <c r="A1906" s="55"/>
      <c r="B1906"/>
    </row>
    <row r="1907" spans="1:2">
      <c r="A1907" s="55"/>
      <c r="B1907"/>
    </row>
    <row r="1908" spans="1:2">
      <c r="A1908" s="55"/>
      <c r="B1908"/>
    </row>
    <row r="1909" spans="1:2">
      <c r="A1909" s="55"/>
      <c r="B1909"/>
    </row>
    <row r="1910" spans="1:2">
      <c r="A1910" s="55"/>
      <c r="B1910"/>
    </row>
    <row r="1911" spans="1:2">
      <c r="A1911" s="55"/>
      <c r="B1911"/>
    </row>
    <row r="1912" spans="1:2">
      <c r="A1912" s="55"/>
      <c r="B1912"/>
    </row>
    <row r="1913" spans="1:2">
      <c r="A1913" s="55"/>
      <c r="B1913"/>
    </row>
    <row r="1914" spans="1:2">
      <c r="A1914" s="55"/>
      <c r="B1914"/>
    </row>
    <row r="1915" spans="1:2">
      <c r="A1915" s="55"/>
      <c r="B1915"/>
    </row>
    <row r="1916" spans="1:2">
      <c r="A1916" s="55"/>
      <c r="B1916"/>
    </row>
    <row r="1917" spans="1:2">
      <c r="A1917" s="55"/>
      <c r="B1917"/>
    </row>
    <row r="1918" spans="1:2">
      <c r="A1918" s="55"/>
      <c r="B1918"/>
    </row>
    <row r="1919" spans="1:2">
      <c r="A1919" s="55"/>
      <c r="B1919"/>
    </row>
    <row r="1920" spans="1:2">
      <c r="A1920" s="55"/>
      <c r="B1920"/>
    </row>
    <row r="1921" spans="1:2">
      <c r="A1921" s="55"/>
      <c r="B1921"/>
    </row>
    <row r="1922" spans="1:2">
      <c r="A1922" s="55"/>
      <c r="B1922"/>
    </row>
    <row r="1923" spans="1:2">
      <c r="A1923" s="55"/>
      <c r="B1923"/>
    </row>
    <row r="1924" spans="1:2">
      <c r="A1924" s="55"/>
      <c r="B1924"/>
    </row>
    <row r="1925" spans="1:2">
      <c r="A1925" s="55"/>
      <c r="B1925"/>
    </row>
    <row r="1926" spans="1:2">
      <c r="A1926" s="55"/>
      <c r="B1926"/>
    </row>
    <row r="1927" spans="1:2">
      <c r="A1927" s="55"/>
      <c r="B1927"/>
    </row>
    <row r="1928" spans="1:2">
      <c r="A1928" s="55"/>
      <c r="B1928"/>
    </row>
    <row r="1929" spans="1:2">
      <c r="A1929" s="55"/>
      <c r="B1929"/>
    </row>
    <row r="1930" spans="1:2">
      <c r="A1930" s="55"/>
      <c r="B1930"/>
    </row>
    <row r="1931" spans="1:2">
      <c r="A1931" s="55"/>
      <c r="B1931"/>
    </row>
    <row r="1932" spans="1:2">
      <c r="A1932" s="55"/>
      <c r="B1932"/>
    </row>
    <row r="1933" spans="1:2">
      <c r="A1933" s="55"/>
      <c r="B1933"/>
    </row>
    <row r="1934" spans="1:2">
      <c r="A1934" s="55"/>
      <c r="B1934"/>
    </row>
    <row r="1935" spans="1:2">
      <c r="A1935" s="55"/>
      <c r="B1935"/>
    </row>
    <row r="1936" spans="1:2">
      <c r="A1936" s="55"/>
      <c r="B1936"/>
    </row>
    <row r="1937" spans="1:2">
      <c r="A1937" s="55"/>
      <c r="B1937"/>
    </row>
    <row r="1938" spans="1:2">
      <c r="A1938" s="55"/>
      <c r="B1938"/>
    </row>
    <row r="1939" spans="1:2">
      <c r="A1939" s="55"/>
      <c r="B1939"/>
    </row>
    <row r="1940" spans="1:2">
      <c r="A1940" s="55"/>
      <c r="B1940"/>
    </row>
    <row r="1941" spans="1:2">
      <c r="A1941" s="55"/>
      <c r="B1941"/>
    </row>
    <row r="1942" spans="1:2">
      <c r="A1942" s="55"/>
      <c r="B1942"/>
    </row>
    <row r="1943" spans="1:2">
      <c r="A1943" s="55"/>
      <c r="B1943"/>
    </row>
    <row r="1944" spans="1:2">
      <c r="A1944" s="55"/>
      <c r="B1944"/>
    </row>
    <row r="1945" spans="1:2">
      <c r="A1945" s="55"/>
      <c r="B1945"/>
    </row>
    <row r="1946" spans="1:2">
      <c r="A1946" s="55"/>
      <c r="B1946"/>
    </row>
    <row r="1947" spans="1:2">
      <c r="A1947" s="55"/>
      <c r="B1947"/>
    </row>
    <row r="1948" spans="1:2">
      <c r="A1948" s="55"/>
      <c r="B1948"/>
    </row>
    <row r="1949" spans="1:2">
      <c r="A1949" s="55"/>
      <c r="B1949"/>
    </row>
    <row r="1950" spans="1:2">
      <c r="A1950" s="55"/>
      <c r="B1950"/>
    </row>
    <row r="1951" spans="1:2">
      <c r="A1951" s="55"/>
      <c r="B1951"/>
    </row>
    <row r="1952" spans="1:2">
      <c r="A1952" s="55"/>
      <c r="B1952"/>
    </row>
    <row r="1953" spans="1:2">
      <c r="A1953" s="55"/>
      <c r="B1953"/>
    </row>
    <row r="1954" spans="1:2">
      <c r="A1954" s="55"/>
      <c r="B1954"/>
    </row>
    <row r="1955" spans="1:2">
      <c r="A1955" s="55"/>
      <c r="B1955"/>
    </row>
    <row r="1956" spans="1:2">
      <c r="A1956" s="55"/>
      <c r="B1956"/>
    </row>
    <row r="1957" spans="1:2">
      <c r="A1957" s="55"/>
      <c r="B1957"/>
    </row>
    <row r="1958" spans="1:2">
      <c r="A1958" s="55"/>
      <c r="B1958"/>
    </row>
    <row r="1959" spans="1:2">
      <c r="A1959" s="55"/>
      <c r="B1959"/>
    </row>
    <row r="1960" spans="1:2">
      <c r="A1960" s="55"/>
      <c r="B1960"/>
    </row>
    <row r="1961" spans="1:2">
      <c r="A1961" s="55"/>
      <c r="B1961"/>
    </row>
    <row r="1962" spans="1:2">
      <c r="A1962" s="55"/>
      <c r="B1962"/>
    </row>
    <row r="1963" spans="1:2">
      <c r="A1963" s="55"/>
      <c r="B1963"/>
    </row>
    <row r="1964" spans="1:2">
      <c r="A1964" s="55"/>
      <c r="B1964"/>
    </row>
    <row r="1965" spans="1:2">
      <c r="A1965" s="55"/>
      <c r="B1965"/>
    </row>
    <row r="1966" spans="1:2">
      <c r="A1966" s="55"/>
      <c r="B1966"/>
    </row>
    <row r="1967" spans="1:2">
      <c r="A1967" s="55"/>
      <c r="B1967"/>
    </row>
    <row r="1968" spans="1:2">
      <c r="A1968" s="55"/>
      <c r="B1968"/>
    </row>
    <row r="1969" spans="1:2">
      <c r="A1969" s="55"/>
      <c r="B1969"/>
    </row>
    <row r="1970" spans="1:2">
      <c r="A1970" s="55"/>
      <c r="B1970"/>
    </row>
    <row r="1971" spans="1:2">
      <c r="A1971" s="55"/>
      <c r="B1971"/>
    </row>
    <row r="1972" spans="1:2">
      <c r="A1972" s="55"/>
      <c r="B1972"/>
    </row>
    <row r="1973" spans="1:2">
      <c r="A1973" s="55"/>
      <c r="B1973"/>
    </row>
    <row r="1974" spans="1:2">
      <c r="A1974" s="55"/>
      <c r="B1974"/>
    </row>
    <row r="1975" spans="1:2">
      <c r="A1975" s="55"/>
      <c r="B1975"/>
    </row>
    <row r="1976" spans="1:2">
      <c r="A1976" s="55"/>
      <c r="B1976"/>
    </row>
    <row r="1977" spans="1:2">
      <c r="A1977" s="55"/>
      <c r="B1977"/>
    </row>
    <row r="1978" spans="1:2">
      <c r="A1978" s="55"/>
      <c r="B1978"/>
    </row>
    <row r="1979" spans="1:2">
      <c r="A1979" s="55"/>
      <c r="B1979"/>
    </row>
    <row r="1980" spans="1:2">
      <c r="A1980" s="55"/>
      <c r="B1980"/>
    </row>
    <row r="1981" spans="1:2">
      <c r="A1981" s="55"/>
      <c r="B1981"/>
    </row>
    <row r="1982" spans="1:2">
      <c r="A1982" s="55"/>
      <c r="B1982"/>
    </row>
    <row r="1983" spans="1:2">
      <c r="A1983" s="55"/>
      <c r="B1983"/>
    </row>
    <row r="1984" spans="1:2">
      <c r="A1984" s="55"/>
      <c r="B1984"/>
    </row>
    <row r="1985" spans="1:2">
      <c r="A1985" s="55"/>
      <c r="B1985"/>
    </row>
    <row r="1986" spans="1:2">
      <c r="A1986" s="55"/>
      <c r="B1986"/>
    </row>
    <row r="1987" spans="1:2">
      <c r="A1987" s="55"/>
      <c r="B1987"/>
    </row>
    <row r="1988" spans="1:2">
      <c r="A1988" s="55"/>
      <c r="B1988"/>
    </row>
    <row r="1989" spans="1:2">
      <c r="A1989" s="55"/>
      <c r="B1989"/>
    </row>
    <row r="1990" spans="1:2">
      <c r="A1990" s="55"/>
      <c r="B1990"/>
    </row>
    <row r="1991" spans="1:2">
      <c r="A1991" s="55"/>
      <c r="B1991"/>
    </row>
    <row r="1992" spans="1:2">
      <c r="A1992" s="55"/>
      <c r="B1992"/>
    </row>
    <row r="1993" spans="1:2">
      <c r="A1993" s="55"/>
      <c r="B1993"/>
    </row>
    <row r="1994" spans="1:2">
      <c r="A1994" s="55"/>
      <c r="B1994"/>
    </row>
    <row r="1995" spans="1:2">
      <c r="A1995" s="55"/>
      <c r="B1995"/>
    </row>
    <row r="1996" spans="1:2">
      <c r="A1996" s="55"/>
      <c r="B1996"/>
    </row>
    <row r="1997" spans="1:2">
      <c r="A1997" s="55"/>
      <c r="B1997"/>
    </row>
    <row r="1998" spans="1:2">
      <c r="A1998" s="55"/>
      <c r="B1998"/>
    </row>
    <row r="1999" spans="1:2">
      <c r="A1999" s="55"/>
      <c r="B1999"/>
    </row>
    <row r="2000" spans="1:2">
      <c r="A2000" s="55"/>
      <c r="B2000"/>
    </row>
    <row r="2001" spans="1:2">
      <c r="A2001" s="55"/>
      <c r="B2001"/>
    </row>
    <row r="2002" spans="1:2">
      <c r="A2002" s="55"/>
      <c r="B2002"/>
    </row>
    <row r="2003" spans="1:2">
      <c r="A2003" s="55"/>
      <c r="B2003"/>
    </row>
    <row r="2004" spans="1:2">
      <c r="A2004" s="55"/>
      <c r="B2004"/>
    </row>
    <row r="2005" spans="1:2">
      <c r="A2005" s="55"/>
      <c r="B2005"/>
    </row>
    <row r="2006" spans="1:2">
      <c r="A2006" s="55"/>
      <c r="B2006"/>
    </row>
    <row r="2007" spans="1:2">
      <c r="A2007" s="55"/>
      <c r="B2007"/>
    </row>
    <row r="2008" spans="1:2">
      <c r="A2008" s="55"/>
      <c r="B2008"/>
    </row>
    <row r="2009" spans="1:2">
      <c r="A2009" s="55"/>
      <c r="B2009"/>
    </row>
    <row r="2010" spans="1:2">
      <c r="A2010" s="55"/>
      <c r="B2010"/>
    </row>
    <row r="2011" spans="1:2">
      <c r="A2011" s="55"/>
      <c r="B2011"/>
    </row>
    <row r="2012" spans="1:2">
      <c r="A2012" s="55"/>
      <c r="B2012"/>
    </row>
    <row r="2013" spans="1:2">
      <c r="A2013" s="55"/>
      <c r="B2013"/>
    </row>
    <row r="2014" spans="1:2">
      <c r="A2014" s="55"/>
      <c r="B2014"/>
    </row>
    <row r="2015" spans="1:2">
      <c r="A2015" s="55"/>
      <c r="B2015"/>
    </row>
    <row r="2016" spans="1:2">
      <c r="A2016" s="55"/>
      <c r="B2016"/>
    </row>
    <row r="2017" spans="1:2">
      <c r="A2017" s="55"/>
      <c r="B2017"/>
    </row>
    <row r="2018" spans="1:2">
      <c r="A2018" s="55"/>
      <c r="B2018"/>
    </row>
    <row r="2019" spans="1:2">
      <c r="A2019" s="55"/>
      <c r="B2019"/>
    </row>
    <row r="2020" spans="1:2">
      <c r="A2020" s="55"/>
      <c r="B2020"/>
    </row>
    <row r="2021" spans="1:2">
      <c r="A2021" s="55"/>
      <c r="B2021"/>
    </row>
    <row r="2022" spans="1:2">
      <c r="A2022" s="55"/>
      <c r="B2022"/>
    </row>
    <row r="2023" spans="1:2">
      <c r="A2023" s="55"/>
      <c r="B2023"/>
    </row>
    <row r="2024" spans="1:2">
      <c r="A2024" s="55"/>
      <c r="B2024"/>
    </row>
    <row r="2025" spans="1:2">
      <c r="A2025" s="55"/>
      <c r="B2025"/>
    </row>
    <row r="2026" spans="1:2">
      <c r="A2026" s="55"/>
      <c r="B2026"/>
    </row>
    <row r="2027" spans="1:2">
      <c r="A2027" s="55"/>
      <c r="B2027"/>
    </row>
    <row r="2028" spans="1:2">
      <c r="A2028" s="55"/>
      <c r="B2028"/>
    </row>
    <row r="2029" spans="1:2">
      <c r="A2029" s="55"/>
      <c r="B2029"/>
    </row>
    <row r="2030" spans="1:2">
      <c r="A2030" s="55"/>
      <c r="B2030"/>
    </row>
    <row r="2031" spans="1:2">
      <c r="A2031" s="55"/>
      <c r="B2031"/>
    </row>
    <row r="2032" spans="1:2">
      <c r="A2032" s="55"/>
      <c r="B2032"/>
    </row>
    <row r="2033" spans="1:2">
      <c r="A2033" s="55"/>
      <c r="B2033"/>
    </row>
    <row r="2034" spans="1:2">
      <c r="A2034" s="55"/>
      <c r="B2034"/>
    </row>
    <row r="2035" spans="1:2">
      <c r="A2035" s="55"/>
      <c r="B2035"/>
    </row>
    <row r="2036" spans="1:2">
      <c r="A2036" s="55"/>
      <c r="B2036"/>
    </row>
    <row r="2037" spans="1:2">
      <c r="A2037" s="55"/>
      <c r="B2037"/>
    </row>
    <row r="2038" spans="1:2">
      <c r="A2038" s="55"/>
      <c r="B2038"/>
    </row>
    <row r="2039" spans="1:2">
      <c r="A2039" s="55"/>
      <c r="B2039"/>
    </row>
    <row r="2040" spans="1:2">
      <c r="A2040" s="55"/>
      <c r="B2040"/>
    </row>
    <row r="2041" spans="1:2">
      <c r="A2041" s="55"/>
      <c r="B2041"/>
    </row>
    <row r="2042" spans="1:2">
      <c r="A2042" s="55"/>
      <c r="B2042"/>
    </row>
    <row r="2043" spans="1:2">
      <c r="A2043" s="55"/>
      <c r="B2043"/>
    </row>
    <row r="2044" spans="1:2">
      <c r="A2044" s="55"/>
      <c r="B2044"/>
    </row>
    <row r="2045" spans="1:2">
      <c r="A2045" s="55"/>
      <c r="B2045"/>
    </row>
    <row r="2046" spans="1:2">
      <c r="A2046" s="55"/>
      <c r="B2046"/>
    </row>
    <row r="2047" spans="1:2">
      <c r="A2047" s="55"/>
      <c r="B2047"/>
    </row>
    <row r="2048" spans="1:2">
      <c r="A2048" s="55"/>
      <c r="B2048"/>
    </row>
    <row r="2049" spans="1:2">
      <c r="A2049" s="55"/>
      <c r="B2049"/>
    </row>
    <row r="2050" spans="1:2">
      <c r="A2050" s="55"/>
      <c r="B2050"/>
    </row>
    <row r="2051" spans="1:2">
      <c r="A2051" s="55"/>
      <c r="B2051"/>
    </row>
    <row r="2052" spans="1:2">
      <c r="A2052" s="55"/>
      <c r="B2052"/>
    </row>
    <row r="2053" spans="1:2">
      <c r="A2053" s="55"/>
      <c r="B2053"/>
    </row>
    <row r="2054" spans="1:2">
      <c r="A2054" s="55"/>
      <c r="B2054"/>
    </row>
    <row r="2055" spans="1:2">
      <c r="A2055" s="55"/>
      <c r="B2055"/>
    </row>
    <row r="2056" spans="1:2">
      <c r="A2056" s="55"/>
      <c r="B2056"/>
    </row>
    <row r="2057" spans="1:2">
      <c r="A2057" s="55"/>
      <c r="B2057"/>
    </row>
    <row r="2058" spans="1:2">
      <c r="A2058" s="55"/>
      <c r="B2058"/>
    </row>
    <row r="2059" spans="1:2">
      <c r="A2059" s="55"/>
      <c r="B2059"/>
    </row>
    <row r="2060" spans="1:2">
      <c r="A2060" s="55"/>
      <c r="B2060"/>
    </row>
    <row r="2061" spans="1:2">
      <c r="A2061" s="55"/>
      <c r="B2061"/>
    </row>
    <row r="2062" spans="1:2">
      <c r="A2062" s="55"/>
      <c r="B2062"/>
    </row>
    <row r="2063" spans="1:2">
      <c r="A2063" s="55"/>
      <c r="B2063"/>
    </row>
    <row r="2064" spans="1:2">
      <c r="A2064" s="55"/>
      <c r="B2064"/>
    </row>
    <row r="2065" spans="1:2">
      <c r="A2065" s="55"/>
      <c r="B2065"/>
    </row>
    <row r="2066" spans="1:2">
      <c r="A2066" s="55"/>
      <c r="B2066"/>
    </row>
    <row r="2067" spans="1:2">
      <c r="A2067" s="55"/>
      <c r="B2067"/>
    </row>
    <row r="2068" spans="1:2">
      <c r="A2068" s="55"/>
      <c r="B2068"/>
    </row>
    <row r="2069" spans="1:2">
      <c r="A2069" s="55"/>
      <c r="B2069"/>
    </row>
    <row r="2070" spans="1:2">
      <c r="A2070" s="55"/>
      <c r="B2070"/>
    </row>
    <row r="2071" spans="1:2">
      <c r="A2071" s="55"/>
      <c r="B2071"/>
    </row>
    <row r="2072" spans="1:2">
      <c r="A2072" s="55"/>
      <c r="B2072"/>
    </row>
    <row r="2073" spans="1:2">
      <c r="A2073" s="55"/>
      <c r="B2073"/>
    </row>
    <row r="2074" spans="1:2">
      <c r="A2074" s="55"/>
      <c r="B2074"/>
    </row>
    <row r="2075" spans="1:2">
      <c r="A2075" s="55"/>
      <c r="B2075"/>
    </row>
    <row r="2076" spans="1:2">
      <c r="A2076" s="55"/>
      <c r="B2076"/>
    </row>
    <row r="2077" spans="1:2">
      <c r="A2077" s="55"/>
      <c r="B2077"/>
    </row>
    <row r="2078" spans="1:2">
      <c r="A2078" s="55"/>
      <c r="B2078"/>
    </row>
    <row r="2079" spans="1:2">
      <c r="A2079" s="55"/>
      <c r="B2079"/>
    </row>
    <row r="2080" spans="1:2">
      <c r="A2080" s="55"/>
      <c r="B2080"/>
    </row>
    <row r="2081" spans="1:2">
      <c r="A2081" s="55"/>
      <c r="B2081"/>
    </row>
    <row r="2082" spans="1:2">
      <c r="A2082" s="55"/>
      <c r="B2082"/>
    </row>
    <row r="2083" spans="1:2">
      <c r="A2083" s="55"/>
      <c r="B2083"/>
    </row>
    <row r="2084" spans="1:2">
      <c r="A2084" s="55"/>
      <c r="B2084"/>
    </row>
    <row r="2085" spans="1:2">
      <c r="A2085" s="55"/>
      <c r="B2085"/>
    </row>
    <row r="2086" spans="1:2">
      <c r="A2086" s="55"/>
      <c r="B2086"/>
    </row>
    <row r="2087" spans="1:2">
      <c r="A2087" s="55"/>
      <c r="B2087"/>
    </row>
    <row r="2088" spans="1:2">
      <c r="A2088" s="55"/>
      <c r="B2088"/>
    </row>
    <row r="2089" spans="1:2">
      <c r="A2089" s="55"/>
      <c r="B2089"/>
    </row>
    <row r="2090" spans="1:2">
      <c r="A2090" s="55"/>
      <c r="B2090"/>
    </row>
    <row r="2091" spans="1:2">
      <c r="A2091" s="55"/>
      <c r="B2091"/>
    </row>
    <row r="2092" spans="1:2">
      <c r="A2092" s="55"/>
      <c r="B2092"/>
    </row>
    <row r="2093" spans="1:2">
      <c r="A2093" s="55"/>
      <c r="B2093"/>
    </row>
    <row r="2094" spans="1:2">
      <c r="A2094" s="55"/>
      <c r="B2094"/>
    </row>
    <row r="2095" spans="1:2">
      <c r="A2095" s="55"/>
      <c r="B2095"/>
    </row>
    <row r="2096" spans="1:2">
      <c r="A2096" s="55"/>
      <c r="B2096"/>
    </row>
    <row r="2097" spans="1:2">
      <c r="A2097" s="55"/>
      <c r="B2097"/>
    </row>
    <row r="2098" spans="1:2">
      <c r="A2098" s="55"/>
      <c r="B2098"/>
    </row>
    <row r="2099" spans="1:2">
      <c r="A2099" s="55"/>
      <c r="B2099"/>
    </row>
    <row r="2100" spans="1:2">
      <c r="A2100" s="55"/>
      <c r="B2100"/>
    </row>
    <row r="2101" spans="1:2">
      <c r="A2101" s="55"/>
      <c r="B2101"/>
    </row>
    <row r="2102" spans="1:2">
      <c r="A2102" s="55"/>
      <c r="B2102"/>
    </row>
    <row r="2103" spans="1:2">
      <c r="A2103" s="55"/>
      <c r="B2103"/>
    </row>
    <row r="2104" spans="1:2">
      <c r="A2104" s="55"/>
      <c r="B2104"/>
    </row>
    <row r="2105" spans="1:2">
      <c r="A2105" s="55"/>
      <c r="B2105"/>
    </row>
    <row r="2106" spans="1:2">
      <c r="A2106" s="55"/>
      <c r="B2106"/>
    </row>
    <row r="2107" spans="1:2">
      <c r="A2107" s="55"/>
      <c r="B2107"/>
    </row>
    <row r="2108" spans="1:2">
      <c r="A2108" s="55"/>
      <c r="B2108"/>
    </row>
    <row r="2109" spans="1:2">
      <c r="A2109" s="55"/>
      <c r="B2109"/>
    </row>
    <row r="2110" spans="1:2">
      <c r="A2110" s="55"/>
      <c r="B2110"/>
    </row>
    <row r="2111" spans="1:2">
      <c r="A2111" s="55"/>
      <c r="B2111"/>
    </row>
    <row r="2112" spans="1:2">
      <c r="A2112" s="55"/>
      <c r="B2112"/>
    </row>
    <row r="2113" spans="1:2">
      <c r="A2113" s="55"/>
      <c r="B2113"/>
    </row>
    <row r="2114" spans="1:2">
      <c r="A2114" s="55"/>
      <c r="B2114"/>
    </row>
    <row r="2115" spans="1:2">
      <c r="A2115" s="55"/>
      <c r="B2115"/>
    </row>
    <row r="2116" spans="1:2">
      <c r="A2116" s="55"/>
      <c r="B2116"/>
    </row>
    <row r="2117" spans="1:2">
      <c r="A2117" s="55"/>
      <c r="B2117"/>
    </row>
    <row r="2118" spans="1:2">
      <c r="A2118" s="55"/>
      <c r="B2118"/>
    </row>
    <row r="2119" spans="1:2">
      <c r="A2119" s="55"/>
      <c r="B2119"/>
    </row>
    <row r="2120" spans="1:2">
      <c r="A2120" s="55"/>
      <c r="B2120"/>
    </row>
    <row r="2121" spans="1:2">
      <c r="A2121" s="55"/>
      <c r="B2121"/>
    </row>
    <row r="2122" spans="1:2">
      <c r="A2122" s="55"/>
      <c r="B2122"/>
    </row>
    <row r="2123" spans="1:2">
      <c r="A2123" s="55"/>
      <c r="B2123"/>
    </row>
    <row r="2124" spans="1:2">
      <c r="A2124" s="55"/>
      <c r="B2124"/>
    </row>
    <row r="2125" spans="1:2">
      <c r="A2125" s="55"/>
      <c r="B2125"/>
    </row>
    <row r="2126" spans="1:2">
      <c r="A2126" s="55"/>
      <c r="B2126"/>
    </row>
    <row r="2127" spans="1:2">
      <c r="A2127" s="55"/>
      <c r="B2127"/>
    </row>
    <row r="2128" spans="1:2">
      <c r="A2128" s="55"/>
      <c r="B2128"/>
    </row>
    <row r="2129" spans="1:2">
      <c r="A2129" s="55"/>
      <c r="B2129"/>
    </row>
    <row r="2130" spans="1:2">
      <c r="A2130" s="55"/>
      <c r="B2130"/>
    </row>
    <row r="2131" spans="1:2">
      <c r="A2131" s="55"/>
      <c r="B2131"/>
    </row>
    <row r="2132" spans="1:2">
      <c r="A2132" s="55"/>
      <c r="B2132"/>
    </row>
    <row r="2133" spans="1:2">
      <c r="A2133" s="55"/>
      <c r="B2133"/>
    </row>
    <row r="2134" spans="1:2">
      <c r="A2134" s="55"/>
      <c r="B2134"/>
    </row>
    <row r="2135" spans="1:2">
      <c r="A2135" s="55"/>
      <c r="B2135"/>
    </row>
    <row r="2136" spans="1:2">
      <c r="A2136" s="55"/>
      <c r="B2136"/>
    </row>
    <row r="2137" spans="1:2">
      <c r="A2137" s="55"/>
      <c r="B2137"/>
    </row>
    <row r="2138" spans="1:2">
      <c r="A2138" s="55"/>
      <c r="B2138"/>
    </row>
    <row r="2139" spans="1:2">
      <c r="A2139" s="55"/>
      <c r="B2139"/>
    </row>
    <row r="2140" spans="1:2">
      <c r="A2140" s="55"/>
      <c r="B2140"/>
    </row>
    <row r="2141" spans="1:2">
      <c r="A2141" s="55"/>
      <c r="B2141"/>
    </row>
    <row r="2142" spans="1:2">
      <c r="A2142" s="55"/>
      <c r="B2142"/>
    </row>
    <row r="2143" spans="1:2">
      <c r="A2143" s="55"/>
      <c r="B2143"/>
    </row>
    <row r="2144" spans="1:2">
      <c r="A2144" s="55"/>
      <c r="B2144"/>
    </row>
    <row r="2145" spans="1:2">
      <c r="A2145" s="55"/>
      <c r="B2145"/>
    </row>
    <row r="2146" spans="1:2">
      <c r="A2146" s="55"/>
      <c r="B2146"/>
    </row>
    <row r="2147" spans="1:2">
      <c r="A2147" s="55"/>
      <c r="B2147"/>
    </row>
    <row r="2148" spans="1:2">
      <c r="A2148" s="55"/>
      <c r="B2148"/>
    </row>
    <row r="2149" spans="1:2">
      <c r="A2149" s="55"/>
      <c r="B2149"/>
    </row>
    <row r="2150" spans="1:2">
      <c r="A2150" s="55"/>
      <c r="B2150"/>
    </row>
    <row r="2151" spans="1:2">
      <c r="A2151" s="55"/>
      <c r="B2151"/>
    </row>
    <row r="2152" spans="1:2">
      <c r="A2152" s="55"/>
      <c r="B2152"/>
    </row>
    <row r="2153" spans="1:2">
      <c r="A2153" s="55"/>
      <c r="B2153"/>
    </row>
    <row r="2154" spans="1:2">
      <c r="A2154" s="55"/>
      <c r="B2154"/>
    </row>
    <row r="2155" spans="1:2">
      <c r="A2155" s="55"/>
      <c r="B2155"/>
    </row>
    <row r="2156" spans="1:2">
      <c r="A2156" s="55"/>
      <c r="B2156"/>
    </row>
    <row r="2157" spans="1:2">
      <c r="A2157" s="55"/>
      <c r="B2157"/>
    </row>
    <row r="2158" spans="1:2">
      <c r="A2158" s="55"/>
      <c r="B2158"/>
    </row>
    <row r="2159" spans="1:2">
      <c r="A2159" s="55"/>
      <c r="B2159"/>
    </row>
    <row r="2160" spans="1:2">
      <c r="A2160" s="55"/>
      <c r="B2160"/>
    </row>
    <row r="2161" spans="1:2">
      <c r="A2161" s="55"/>
      <c r="B2161"/>
    </row>
    <row r="2162" spans="1:2">
      <c r="A2162" s="55"/>
      <c r="B2162"/>
    </row>
    <row r="2163" spans="1:2">
      <c r="A2163" s="55"/>
      <c r="B2163"/>
    </row>
    <row r="2164" spans="1:2">
      <c r="A2164" s="55"/>
      <c r="B2164"/>
    </row>
    <row r="2165" spans="1:2">
      <c r="A2165" s="55"/>
      <c r="B2165"/>
    </row>
    <row r="2166" spans="1:2">
      <c r="A2166" s="55"/>
      <c r="B2166"/>
    </row>
    <row r="2167" spans="1:2">
      <c r="A2167" s="55"/>
      <c r="B2167"/>
    </row>
    <row r="2168" spans="1:2">
      <c r="A2168" s="55"/>
      <c r="B2168"/>
    </row>
    <row r="2169" spans="1:2">
      <c r="A2169" s="55"/>
      <c r="B2169"/>
    </row>
    <row r="2170" spans="1:2">
      <c r="A2170" s="55"/>
      <c r="B2170"/>
    </row>
    <row r="2171" spans="1:2">
      <c r="A2171" s="55"/>
      <c r="B2171"/>
    </row>
    <row r="2172" spans="1:2">
      <c r="A2172" s="55"/>
      <c r="B2172"/>
    </row>
    <row r="2173" spans="1:2">
      <c r="A2173" s="55"/>
      <c r="B2173"/>
    </row>
    <row r="2174" spans="1:2">
      <c r="A2174" s="55"/>
      <c r="B2174"/>
    </row>
    <row r="2175" spans="1:2">
      <c r="A2175" s="55"/>
      <c r="B2175"/>
    </row>
    <row r="2176" spans="1:2">
      <c r="A2176" s="55"/>
      <c r="B2176"/>
    </row>
    <row r="2177" spans="1:2">
      <c r="A2177" s="55"/>
      <c r="B2177"/>
    </row>
    <row r="2178" spans="1:2">
      <c r="A2178" s="55"/>
      <c r="B2178"/>
    </row>
    <row r="2179" spans="1:2">
      <c r="A2179" s="55"/>
      <c r="B2179"/>
    </row>
    <row r="2180" spans="1:2">
      <c r="A2180" s="55"/>
      <c r="B2180"/>
    </row>
    <row r="2181" spans="1:2">
      <c r="A2181" s="55"/>
      <c r="B2181"/>
    </row>
    <row r="2182" spans="1:2">
      <c r="A2182" s="55"/>
      <c r="B2182"/>
    </row>
    <row r="2183" spans="1:2">
      <c r="A2183" s="55"/>
      <c r="B2183"/>
    </row>
    <row r="2184" spans="1:2">
      <c r="A2184" s="55"/>
      <c r="B2184"/>
    </row>
    <row r="2185" spans="1:2">
      <c r="A2185" s="55"/>
      <c r="B2185"/>
    </row>
    <row r="2186" spans="1:2">
      <c r="A2186" s="55"/>
      <c r="B2186"/>
    </row>
    <row r="2187" spans="1:2">
      <c r="A2187" s="55"/>
      <c r="B2187"/>
    </row>
    <row r="2188" spans="1:2">
      <c r="A2188" s="55"/>
      <c r="B2188"/>
    </row>
    <row r="2189" spans="1:2">
      <c r="A2189" s="55"/>
      <c r="B2189"/>
    </row>
    <row r="2190" spans="1:2">
      <c r="A2190" s="55"/>
      <c r="B2190"/>
    </row>
    <row r="2191" spans="1:2">
      <c r="A2191" s="55"/>
      <c r="B2191"/>
    </row>
    <row r="2192" spans="1:2">
      <c r="A2192" s="55"/>
      <c r="B2192"/>
    </row>
    <row r="2193" spans="1:2">
      <c r="A2193" s="55"/>
      <c r="B2193"/>
    </row>
    <row r="2194" spans="1:2">
      <c r="A2194" s="55"/>
      <c r="B2194"/>
    </row>
    <row r="2195" spans="1:2">
      <c r="A2195" s="55"/>
      <c r="B2195"/>
    </row>
    <row r="2196" spans="1:2">
      <c r="A2196" s="55"/>
      <c r="B2196"/>
    </row>
    <row r="2197" spans="1:2">
      <c r="A2197" s="55"/>
      <c r="B2197"/>
    </row>
    <row r="2198" spans="1:2">
      <c r="A2198" s="55"/>
      <c r="B2198"/>
    </row>
    <row r="2199" spans="1:2">
      <c r="A2199" s="55"/>
      <c r="B2199"/>
    </row>
    <row r="2200" spans="1:2">
      <c r="A2200" s="55"/>
      <c r="B2200"/>
    </row>
    <row r="2201" spans="1:2">
      <c r="A2201" s="55"/>
      <c r="B2201"/>
    </row>
    <row r="2202" spans="1:2">
      <c r="A2202" s="55"/>
      <c r="B2202"/>
    </row>
    <row r="2203" spans="1:2">
      <c r="A2203" s="55"/>
      <c r="B2203"/>
    </row>
    <row r="2204" spans="1:2">
      <c r="A2204" s="55"/>
      <c r="B2204"/>
    </row>
    <row r="2205" spans="1:2">
      <c r="A2205" s="55"/>
      <c r="B2205"/>
    </row>
    <row r="2206" spans="1:2">
      <c r="A2206" s="55"/>
      <c r="B2206"/>
    </row>
    <row r="2207" spans="1:2">
      <c r="A2207" s="55"/>
      <c r="B2207"/>
    </row>
    <row r="2208" spans="1:2">
      <c r="A2208" s="55"/>
      <c r="B2208"/>
    </row>
    <row r="2209" spans="1:2">
      <c r="A2209" s="55"/>
      <c r="B2209"/>
    </row>
    <row r="2210" spans="1:2">
      <c r="A2210" s="55"/>
      <c r="B2210"/>
    </row>
    <row r="2211" spans="1:2">
      <c r="A2211" s="55"/>
      <c r="B2211"/>
    </row>
    <row r="2212" spans="1:2">
      <c r="A2212" s="55"/>
      <c r="B2212"/>
    </row>
    <row r="2213" spans="1:2">
      <c r="A2213" s="55"/>
      <c r="B2213"/>
    </row>
    <row r="2214" spans="1:2">
      <c r="A2214" s="55"/>
      <c r="B2214"/>
    </row>
    <row r="2215" spans="1:2">
      <c r="A2215" s="55"/>
      <c r="B2215"/>
    </row>
    <row r="2216" spans="1:2">
      <c r="A2216" s="55"/>
      <c r="B2216"/>
    </row>
    <row r="2217" spans="1:2">
      <c r="A2217" s="55"/>
      <c r="B2217"/>
    </row>
    <row r="2218" spans="1:2">
      <c r="A2218" s="55"/>
      <c r="B2218"/>
    </row>
    <row r="2219" spans="1:2">
      <c r="A2219" s="55"/>
      <c r="B2219"/>
    </row>
    <row r="2220" spans="1:2">
      <c r="A2220" s="55"/>
      <c r="B2220"/>
    </row>
    <row r="2221" spans="1:2">
      <c r="A2221" s="55"/>
      <c r="B2221"/>
    </row>
    <row r="2222" spans="1:2">
      <c r="A2222" s="55"/>
      <c r="B2222"/>
    </row>
    <row r="2223" spans="1:2">
      <c r="A2223" s="55"/>
      <c r="B2223"/>
    </row>
    <row r="2224" spans="1:2">
      <c r="A2224" s="55"/>
      <c r="B2224"/>
    </row>
    <row r="2225" spans="1:2">
      <c r="A2225" s="55"/>
      <c r="B2225"/>
    </row>
    <row r="2226" spans="1:2">
      <c r="A2226" s="55"/>
      <c r="B2226"/>
    </row>
    <row r="2227" spans="1:2">
      <c r="A2227" s="55"/>
      <c r="B2227"/>
    </row>
    <row r="2228" spans="1:2">
      <c r="A2228" s="55"/>
      <c r="B2228"/>
    </row>
    <row r="2229" spans="1:2">
      <c r="A2229" s="55"/>
      <c r="B2229"/>
    </row>
    <row r="2230" spans="1:2">
      <c r="A2230" s="55"/>
      <c r="B2230"/>
    </row>
    <row r="2231" spans="1:2">
      <c r="A2231" s="55"/>
      <c r="B2231"/>
    </row>
    <row r="2232" spans="1:2">
      <c r="A2232" s="55"/>
      <c r="B2232"/>
    </row>
    <row r="2233" spans="1:2">
      <c r="A2233" s="55"/>
      <c r="B2233"/>
    </row>
    <row r="2234" spans="1:2">
      <c r="A2234" s="55"/>
      <c r="B2234"/>
    </row>
    <row r="2235" spans="1:2">
      <c r="A2235" s="55"/>
      <c r="B2235"/>
    </row>
    <row r="2236" spans="1:2">
      <c r="A2236" s="55"/>
      <c r="B2236"/>
    </row>
    <row r="2237" spans="1:2">
      <c r="A2237" s="55"/>
      <c r="B2237"/>
    </row>
    <row r="2238" spans="1:2">
      <c r="A2238" s="55"/>
      <c r="B2238"/>
    </row>
    <row r="2239" spans="1:2">
      <c r="A2239" s="55"/>
      <c r="B2239"/>
    </row>
    <row r="2240" spans="1:2">
      <c r="A2240" s="55"/>
      <c r="B2240"/>
    </row>
    <row r="2241" spans="1:2">
      <c r="A2241" s="55"/>
      <c r="B2241"/>
    </row>
    <row r="2242" spans="1:2">
      <c r="A2242" s="55"/>
      <c r="B2242"/>
    </row>
    <row r="2243" spans="1:2">
      <c r="A2243" s="55"/>
      <c r="B2243"/>
    </row>
    <row r="2244" spans="1:2">
      <c r="A2244" s="55"/>
      <c r="B2244"/>
    </row>
    <row r="2245" spans="1:2">
      <c r="A2245" s="55"/>
      <c r="B2245"/>
    </row>
    <row r="2246" spans="1:2">
      <c r="A2246" s="55"/>
      <c r="B2246"/>
    </row>
    <row r="2247" spans="1:2">
      <c r="A2247" s="55"/>
      <c r="B2247"/>
    </row>
    <row r="2248" spans="1:2">
      <c r="A2248" s="55"/>
      <c r="B2248"/>
    </row>
    <row r="2249" spans="1:2">
      <c r="A2249" s="55"/>
      <c r="B2249"/>
    </row>
    <row r="2250" spans="1:2">
      <c r="A2250" s="55"/>
      <c r="B2250"/>
    </row>
    <row r="2251" spans="1:2">
      <c r="A2251" s="55"/>
      <c r="B2251"/>
    </row>
    <row r="2252" spans="1:2">
      <c r="A2252" s="55"/>
      <c r="B2252"/>
    </row>
    <row r="2253" spans="1:2">
      <c r="A2253" s="55"/>
      <c r="B2253"/>
    </row>
    <row r="2254" spans="1:2">
      <c r="A2254" s="55"/>
      <c r="B2254"/>
    </row>
    <row r="2255" spans="1:2">
      <c r="A2255" s="55"/>
      <c r="B2255"/>
    </row>
    <row r="2256" spans="1:2">
      <c r="A2256" s="55"/>
      <c r="B2256"/>
    </row>
    <row r="2257" spans="1:2">
      <c r="A2257" s="55"/>
      <c r="B2257"/>
    </row>
    <row r="2258" spans="1:2">
      <c r="A2258" s="55"/>
      <c r="B2258"/>
    </row>
    <row r="2259" spans="1:2">
      <c r="A2259" s="55"/>
      <c r="B2259"/>
    </row>
    <row r="2260" spans="1:2">
      <c r="A2260" s="55"/>
      <c r="B2260"/>
    </row>
    <row r="2261" spans="1:2">
      <c r="A2261" s="55"/>
      <c r="B2261"/>
    </row>
    <row r="2262" spans="1:2">
      <c r="A2262" s="55"/>
      <c r="B2262"/>
    </row>
    <row r="2263" spans="1:2">
      <c r="A2263" s="55"/>
      <c r="B2263"/>
    </row>
    <row r="2264" spans="1:2">
      <c r="A2264" s="55"/>
      <c r="B2264"/>
    </row>
    <row r="2265" spans="1:2">
      <c r="A2265" s="55"/>
      <c r="B2265"/>
    </row>
    <row r="2266" spans="1:2">
      <c r="A2266" s="55"/>
      <c r="B2266"/>
    </row>
    <row r="2267" spans="1:2">
      <c r="A2267" s="55"/>
      <c r="B2267"/>
    </row>
    <row r="2268" spans="1:2">
      <c r="A2268" s="55"/>
      <c r="B2268"/>
    </row>
    <row r="2269" spans="1:2">
      <c r="A2269" s="55"/>
      <c r="B2269"/>
    </row>
    <row r="2270" spans="1:2">
      <c r="A2270" s="55"/>
      <c r="B2270"/>
    </row>
    <row r="2271" spans="1:2">
      <c r="A2271" s="55"/>
      <c r="B2271"/>
    </row>
    <row r="2272" spans="1:2">
      <c r="A2272" s="55"/>
      <c r="B2272"/>
    </row>
    <row r="2273" spans="1:2">
      <c r="A2273" s="55"/>
      <c r="B2273"/>
    </row>
    <row r="2274" spans="1:2">
      <c r="A2274" s="55"/>
      <c r="B2274"/>
    </row>
    <row r="2275" spans="1:2">
      <c r="A2275" s="55"/>
      <c r="B2275"/>
    </row>
    <row r="2276" spans="1:2">
      <c r="A2276" s="55"/>
      <c r="B2276"/>
    </row>
    <row r="2277" spans="1:2">
      <c r="A2277" s="55"/>
      <c r="B2277"/>
    </row>
    <row r="2278" spans="1:2">
      <c r="A2278" s="55"/>
      <c r="B2278"/>
    </row>
    <row r="2279" spans="1:2">
      <c r="A2279" s="55"/>
      <c r="B2279"/>
    </row>
    <row r="2280" spans="1:2">
      <c r="A2280" s="55"/>
      <c r="B2280"/>
    </row>
    <row r="2281" spans="1:2">
      <c r="A2281" s="55"/>
      <c r="B2281"/>
    </row>
    <row r="2282" spans="1:2">
      <c r="A2282" s="55"/>
      <c r="B2282"/>
    </row>
    <row r="2283" spans="1:2">
      <c r="A2283" s="55"/>
      <c r="B2283"/>
    </row>
    <row r="2284" spans="1:2">
      <c r="A2284" s="55"/>
      <c r="B2284"/>
    </row>
    <row r="2285" spans="1:2">
      <c r="A2285" s="55"/>
      <c r="B2285"/>
    </row>
    <row r="2286" spans="1:2">
      <c r="A2286" s="55"/>
      <c r="B2286"/>
    </row>
    <row r="2287" spans="1:2">
      <c r="A2287" s="55"/>
      <c r="B2287"/>
    </row>
    <row r="2288" spans="1:2">
      <c r="A2288" s="55"/>
      <c r="B2288"/>
    </row>
    <row r="2289" spans="1:2">
      <c r="A2289" s="55"/>
      <c r="B2289"/>
    </row>
    <row r="2290" spans="1:2">
      <c r="A2290" s="55"/>
      <c r="B2290"/>
    </row>
    <row r="2291" spans="1:2">
      <c r="A2291" s="55"/>
      <c r="B2291"/>
    </row>
    <row r="2292" spans="1:2">
      <c r="A2292" s="55"/>
      <c r="B2292"/>
    </row>
    <row r="2293" spans="1:2">
      <c r="A2293" s="55"/>
      <c r="B2293"/>
    </row>
    <row r="2294" spans="1:2">
      <c r="A2294" s="55"/>
      <c r="B2294"/>
    </row>
    <row r="2295" spans="1:2">
      <c r="A2295" s="55"/>
      <c r="B2295"/>
    </row>
    <row r="2296" spans="1:2">
      <c r="A2296" s="55"/>
      <c r="B2296"/>
    </row>
    <row r="2297" spans="1:2">
      <c r="A2297" s="55"/>
      <c r="B2297"/>
    </row>
    <row r="2298" spans="1:2">
      <c r="A2298" s="55"/>
      <c r="B2298"/>
    </row>
    <row r="2299" spans="1:2">
      <c r="A2299" s="55"/>
      <c r="B2299"/>
    </row>
    <row r="2300" spans="1:2">
      <c r="A2300" s="55"/>
      <c r="B2300"/>
    </row>
    <row r="2301" spans="1:2">
      <c r="A2301" s="55"/>
      <c r="B2301"/>
    </row>
    <row r="2302" spans="1:2">
      <c r="A2302" s="55"/>
      <c r="B2302"/>
    </row>
    <row r="2303" spans="1:2">
      <c r="A2303" s="55"/>
      <c r="B2303"/>
    </row>
    <row r="2304" spans="1:2">
      <c r="A2304" s="55"/>
      <c r="B2304"/>
    </row>
    <row r="2305" spans="1:2">
      <c r="A2305" s="55"/>
      <c r="B2305"/>
    </row>
    <row r="2306" spans="1:2">
      <c r="A2306" s="55"/>
      <c r="B2306"/>
    </row>
    <row r="2307" spans="1:2">
      <c r="A2307" s="55"/>
      <c r="B2307"/>
    </row>
    <row r="2308" spans="1:2">
      <c r="A2308" s="55"/>
      <c r="B2308"/>
    </row>
    <row r="2309" spans="1:2">
      <c r="A2309" s="55"/>
      <c r="B2309"/>
    </row>
    <row r="2310" spans="1:2">
      <c r="A2310" s="55"/>
      <c r="B2310"/>
    </row>
    <row r="2311" spans="1:2">
      <c r="A2311" s="55"/>
      <c r="B2311"/>
    </row>
    <row r="2312" spans="1:2">
      <c r="A2312" s="55"/>
      <c r="B2312"/>
    </row>
    <row r="2313" spans="1:2">
      <c r="A2313" s="55"/>
      <c r="B2313"/>
    </row>
    <row r="2314" spans="1:2">
      <c r="A2314" s="55"/>
      <c r="B2314"/>
    </row>
    <row r="2315" spans="1:2">
      <c r="A2315" s="55"/>
      <c r="B2315"/>
    </row>
    <row r="2316" spans="1:2">
      <c r="A2316" s="55"/>
      <c r="B2316"/>
    </row>
    <row r="2317" spans="1:2">
      <c r="A2317" s="55"/>
      <c r="B2317"/>
    </row>
    <row r="2318" spans="1:2">
      <c r="A2318" s="55"/>
      <c r="B2318"/>
    </row>
    <row r="2319" spans="1:2">
      <c r="A2319" s="55"/>
      <c r="B2319"/>
    </row>
    <row r="2320" spans="1:2">
      <c r="A2320" s="55"/>
      <c r="B2320"/>
    </row>
    <row r="2321" spans="1:2">
      <c r="A2321" s="55"/>
      <c r="B2321"/>
    </row>
    <row r="2322" spans="1:2">
      <c r="A2322" s="55"/>
      <c r="B2322"/>
    </row>
    <row r="2323" spans="1:2">
      <c r="A2323" s="55"/>
      <c r="B2323"/>
    </row>
    <row r="2324" spans="1:2">
      <c r="A2324" s="55"/>
      <c r="B2324"/>
    </row>
    <row r="2325" spans="1:2">
      <c r="A2325" s="55"/>
      <c r="B2325"/>
    </row>
    <row r="2326" spans="1:2">
      <c r="A2326" s="55"/>
      <c r="B2326"/>
    </row>
    <row r="2327" spans="1:2">
      <c r="A2327" s="55"/>
      <c r="B2327"/>
    </row>
    <row r="2328" spans="1:2">
      <c r="A2328" s="55"/>
      <c r="B2328"/>
    </row>
    <row r="2329" spans="1:2">
      <c r="A2329" s="55"/>
      <c r="B2329"/>
    </row>
    <row r="2330" spans="1:2">
      <c r="A2330" s="55"/>
      <c r="B2330"/>
    </row>
    <row r="2331" spans="1:2">
      <c r="A2331" s="55"/>
      <c r="B2331"/>
    </row>
    <row r="2332" spans="1:2">
      <c r="A2332" s="55"/>
      <c r="B2332"/>
    </row>
    <row r="2333" spans="1:2">
      <c r="A2333" s="55"/>
      <c r="B2333"/>
    </row>
    <row r="2334" spans="1:2">
      <c r="A2334" s="55"/>
      <c r="B2334"/>
    </row>
    <row r="2335" spans="1:2">
      <c r="A2335" s="55"/>
      <c r="B2335"/>
    </row>
    <row r="2336" spans="1:2">
      <c r="A2336" s="55"/>
      <c r="B2336"/>
    </row>
    <row r="2337" spans="1:2">
      <c r="A2337" s="55"/>
      <c r="B2337"/>
    </row>
    <row r="2338" spans="1:2">
      <c r="A2338" s="55"/>
      <c r="B2338"/>
    </row>
    <row r="2339" spans="1:2">
      <c r="A2339" s="55"/>
      <c r="B2339"/>
    </row>
    <row r="2340" spans="1:2">
      <c r="A2340" s="55"/>
      <c r="B2340"/>
    </row>
    <row r="2341" spans="1:2">
      <c r="A2341" s="55"/>
      <c r="B2341"/>
    </row>
    <row r="2342" spans="1:2">
      <c r="A2342" s="55"/>
      <c r="B2342"/>
    </row>
    <row r="2343" spans="1:2">
      <c r="A2343" s="55"/>
      <c r="B2343"/>
    </row>
    <row r="2344" spans="1:2">
      <c r="A2344" s="55"/>
      <c r="B2344"/>
    </row>
    <row r="2345" spans="1:2">
      <c r="A2345" s="55"/>
      <c r="B2345"/>
    </row>
    <row r="2346" spans="1:2">
      <c r="A2346" s="55"/>
      <c r="B2346"/>
    </row>
    <row r="2347" spans="1:2">
      <c r="A2347" s="55"/>
      <c r="B2347"/>
    </row>
    <row r="2348" spans="1:2">
      <c r="A2348" s="55"/>
      <c r="B2348"/>
    </row>
    <row r="2349" spans="1:2">
      <c r="A2349" s="55"/>
      <c r="B2349"/>
    </row>
    <row r="2350" spans="1:2">
      <c r="A2350" s="55"/>
      <c r="B2350"/>
    </row>
    <row r="2351" spans="1:2">
      <c r="A2351" s="55"/>
      <c r="B2351"/>
    </row>
    <row r="2352" spans="1:2">
      <c r="A2352" s="55"/>
      <c r="B2352"/>
    </row>
    <row r="2353" spans="1:2">
      <c r="A2353" s="55"/>
      <c r="B2353"/>
    </row>
    <row r="2354" spans="1:2">
      <c r="A2354" s="55"/>
      <c r="B2354"/>
    </row>
    <row r="2355" spans="1:2">
      <c r="A2355" s="55"/>
      <c r="B2355"/>
    </row>
    <row r="2356" spans="1:2">
      <c r="A2356" s="55"/>
      <c r="B2356"/>
    </row>
    <row r="2357" spans="1:2">
      <c r="A2357" s="55"/>
      <c r="B2357"/>
    </row>
    <row r="2358" spans="1:2">
      <c r="A2358" s="55"/>
      <c r="B2358"/>
    </row>
    <row r="2359" spans="1:2">
      <c r="A2359" s="55"/>
      <c r="B2359"/>
    </row>
    <row r="2360" spans="1:2">
      <c r="A2360" s="55"/>
      <c r="B2360"/>
    </row>
    <row r="2361" spans="1:2">
      <c r="A2361" s="55"/>
      <c r="B2361"/>
    </row>
    <row r="2362" spans="1:2">
      <c r="A2362" s="55"/>
      <c r="B2362"/>
    </row>
    <row r="2363" spans="1:2">
      <c r="A2363" s="55"/>
      <c r="B2363"/>
    </row>
    <row r="2364" spans="1:2">
      <c r="A2364" s="55"/>
      <c r="B2364"/>
    </row>
    <row r="2365" spans="1:2">
      <c r="A2365" s="55"/>
      <c r="B2365"/>
    </row>
    <row r="2366" spans="1:2">
      <c r="A2366" s="55"/>
      <c r="B2366"/>
    </row>
    <row r="2367" spans="1:2">
      <c r="A2367" s="55"/>
      <c r="B2367"/>
    </row>
    <row r="2368" spans="1:2">
      <c r="A2368" s="55"/>
      <c r="B2368"/>
    </row>
    <row r="2369" spans="1:2">
      <c r="A2369" s="55"/>
      <c r="B2369"/>
    </row>
    <row r="2370" spans="1:2">
      <c r="A2370" s="55"/>
      <c r="B2370"/>
    </row>
    <row r="2371" spans="1:2">
      <c r="A2371" s="55"/>
      <c r="B2371"/>
    </row>
    <row r="2372" spans="1:2">
      <c r="A2372" s="55"/>
      <c r="B2372"/>
    </row>
    <row r="2373" spans="1:2">
      <c r="A2373" s="55"/>
      <c r="B2373"/>
    </row>
    <row r="2374" spans="1:2">
      <c r="A2374" s="55"/>
      <c r="B2374"/>
    </row>
    <row r="2375" spans="1:2">
      <c r="A2375" s="55"/>
      <c r="B2375"/>
    </row>
    <row r="2376" spans="1:2">
      <c r="A2376" s="55"/>
      <c r="B2376"/>
    </row>
    <row r="2377" spans="1:2">
      <c r="A2377" s="55"/>
      <c r="B2377"/>
    </row>
    <row r="2378" spans="1:2">
      <c r="A2378" s="55"/>
      <c r="B2378"/>
    </row>
    <row r="2379" spans="1:2">
      <c r="A2379" s="55"/>
      <c r="B2379"/>
    </row>
    <row r="2380" spans="1:2">
      <c r="A2380" s="55"/>
      <c r="B2380"/>
    </row>
    <row r="2381" spans="1:2">
      <c r="A2381" s="55"/>
      <c r="B2381"/>
    </row>
    <row r="2382" spans="1:2">
      <c r="A2382" s="55"/>
      <c r="B2382"/>
    </row>
    <row r="2383" spans="1:2">
      <c r="A2383" s="55"/>
      <c r="B2383"/>
    </row>
    <row r="2384" spans="1:2">
      <c r="A2384" s="55"/>
      <c r="B2384"/>
    </row>
    <row r="2385" spans="1:2">
      <c r="A2385" s="55"/>
      <c r="B2385"/>
    </row>
    <row r="2386" spans="1:2">
      <c r="A2386" s="55"/>
      <c r="B2386"/>
    </row>
    <row r="2387" spans="1:2">
      <c r="A2387" s="55"/>
      <c r="B2387"/>
    </row>
    <row r="2388" spans="1:2">
      <c r="A2388" s="55"/>
      <c r="B2388"/>
    </row>
    <row r="2389" spans="1:2">
      <c r="A2389" s="55"/>
      <c r="B2389"/>
    </row>
    <row r="2390" spans="1:2">
      <c r="A2390" s="55"/>
      <c r="B2390"/>
    </row>
    <row r="2391" spans="1:2">
      <c r="A2391" s="55"/>
      <c r="B2391"/>
    </row>
    <row r="2392" spans="1:2">
      <c r="A2392" s="55"/>
      <c r="B2392"/>
    </row>
    <row r="2393" spans="1:2">
      <c r="A2393" s="55"/>
      <c r="B2393"/>
    </row>
    <row r="2394" spans="1:2">
      <c r="A2394" s="55"/>
      <c r="B2394"/>
    </row>
    <row r="2395" spans="1:2">
      <c r="A2395" s="55"/>
      <c r="B2395"/>
    </row>
    <row r="2396" spans="1:2">
      <c r="A2396" s="55"/>
      <c r="B2396"/>
    </row>
    <row r="2397" spans="1:2">
      <c r="A2397" s="55"/>
      <c r="B2397"/>
    </row>
    <row r="2398" spans="1:2">
      <c r="A2398" s="55"/>
      <c r="B2398"/>
    </row>
    <row r="2399" spans="1:2">
      <c r="A2399" s="55"/>
      <c r="B2399"/>
    </row>
    <row r="2400" spans="1:2">
      <c r="A2400" s="55"/>
      <c r="B2400"/>
    </row>
    <row r="2401" spans="1:2">
      <c r="A2401" s="55"/>
      <c r="B2401"/>
    </row>
    <row r="2402" spans="1:2">
      <c r="A2402" s="55"/>
      <c r="B2402"/>
    </row>
    <row r="2403" spans="1:2">
      <c r="A2403" s="55"/>
      <c r="B2403"/>
    </row>
    <row r="2404" spans="1:2">
      <c r="A2404" s="55"/>
      <c r="B2404"/>
    </row>
    <row r="2405" spans="1:2">
      <c r="A2405" s="55"/>
      <c r="B2405"/>
    </row>
    <row r="2406" spans="1:2">
      <c r="A2406" s="55"/>
      <c r="B2406"/>
    </row>
    <row r="2407" spans="1:2">
      <c r="A2407" s="55"/>
      <c r="B2407"/>
    </row>
    <row r="2408" spans="1:2">
      <c r="A2408" s="55"/>
      <c r="B2408"/>
    </row>
    <row r="2409" spans="1:2">
      <c r="A2409" s="55"/>
      <c r="B2409"/>
    </row>
    <row r="2410" spans="1:2">
      <c r="A2410" s="55"/>
      <c r="B2410"/>
    </row>
    <row r="2411" spans="1:2">
      <c r="A2411" s="55"/>
      <c r="B2411"/>
    </row>
    <row r="2412" spans="1:2">
      <c r="A2412" s="55"/>
      <c r="B2412"/>
    </row>
    <row r="2413" spans="1:2">
      <c r="A2413" s="55"/>
      <c r="B2413"/>
    </row>
    <row r="2414" spans="1:2">
      <c r="A2414" s="55"/>
      <c r="B2414"/>
    </row>
    <row r="2415" spans="1:2">
      <c r="A2415" s="55"/>
      <c r="B2415"/>
    </row>
    <row r="2416" spans="1:2">
      <c r="A2416" s="55"/>
      <c r="B2416"/>
    </row>
    <row r="2417" spans="1:2">
      <c r="A2417" s="55"/>
      <c r="B2417"/>
    </row>
    <row r="2418" spans="1:2">
      <c r="A2418" s="55"/>
      <c r="B2418"/>
    </row>
    <row r="2419" spans="1:2">
      <c r="A2419" s="55"/>
      <c r="B2419"/>
    </row>
    <row r="2420" spans="1:2">
      <c r="A2420" s="55"/>
      <c r="B2420"/>
    </row>
    <row r="2421" spans="1:2">
      <c r="A2421" s="55"/>
      <c r="B2421"/>
    </row>
    <row r="2422" spans="1:2">
      <c r="A2422" s="55"/>
      <c r="B2422"/>
    </row>
    <row r="2423" spans="1:2">
      <c r="A2423" s="55"/>
      <c r="B2423"/>
    </row>
    <row r="2424" spans="1:2">
      <c r="A2424" s="55"/>
      <c r="B2424"/>
    </row>
    <row r="2425" spans="1:2">
      <c r="A2425" s="55"/>
      <c r="B2425"/>
    </row>
    <row r="2426" spans="1:2">
      <c r="A2426" s="55"/>
      <c r="B2426"/>
    </row>
    <row r="2427" spans="1:2">
      <c r="A2427" s="55"/>
      <c r="B2427"/>
    </row>
    <row r="2428" spans="1:2">
      <c r="A2428" s="55"/>
      <c r="B2428"/>
    </row>
    <row r="2429" spans="1:2">
      <c r="A2429" s="55"/>
      <c r="B2429"/>
    </row>
    <row r="2430" spans="1:2">
      <c r="A2430" s="55"/>
      <c r="B2430"/>
    </row>
    <row r="2431" spans="1:2">
      <c r="A2431" s="55"/>
      <c r="B2431"/>
    </row>
    <row r="2432" spans="1:2">
      <c r="A2432" s="55"/>
      <c r="B2432"/>
    </row>
    <row r="2433" spans="1:2">
      <c r="A2433" s="55"/>
      <c r="B2433"/>
    </row>
    <row r="2434" spans="1:2">
      <c r="A2434" s="55"/>
      <c r="B2434"/>
    </row>
    <row r="2435" spans="1:2">
      <c r="A2435" s="55"/>
      <c r="B2435"/>
    </row>
    <row r="2436" spans="1:2">
      <c r="A2436" s="55"/>
      <c r="B2436"/>
    </row>
    <row r="2437" spans="1:2">
      <c r="A2437" s="55"/>
      <c r="B2437"/>
    </row>
    <row r="2438" spans="1:2">
      <c r="A2438" s="55"/>
      <c r="B2438"/>
    </row>
    <row r="2439" spans="1:2">
      <c r="A2439" s="55"/>
      <c r="B2439"/>
    </row>
    <row r="2440" spans="1:2">
      <c r="A2440" s="55"/>
      <c r="B2440"/>
    </row>
    <row r="2441" spans="1:2">
      <c r="A2441" s="55"/>
      <c r="B2441"/>
    </row>
    <row r="2442" spans="1:2">
      <c r="A2442" s="55"/>
      <c r="B2442"/>
    </row>
    <row r="2443" spans="1:2">
      <c r="A2443" s="55"/>
      <c r="B2443"/>
    </row>
    <row r="2444" spans="1:2">
      <c r="A2444" s="55"/>
      <c r="B2444"/>
    </row>
    <row r="2445" spans="1:2">
      <c r="A2445" s="55"/>
      <c r="B2445"/>
    </row>
    <row r="2446" spans="1:2">
      <c r="A2446" s="55"/>
      <c r="B2446"/>
    </row>
    <row r="2447" spans="1:2">
      <c r="A2447" s="55"/>
      <c r="B2447"/>
    </row>
    <row r="2448" spans="1:2">
      <c r="A2448" s="55"/>
      <c r="B2448"/>
    </row>
    <row r="2449" spans="1:2">
      <c r="A2449" s="55"/>
      <c r="B2449"/>
    </row>
    <row r="2450" spans="1:2">
      <c r="A2450" s="55"/>
      <c r="B2450"/>
    </row>
    <row r="2451" spans="1:2">
      <c r="A2451" s="55"/>
      <c r="B2451"/>
    </row>
    <row r="2452" spans="1:2">
      <c r="A2452" s="55"/>
      <c r="B2452"/>
    </row>
    <row r="2453" spans="1:2">
      <c r="A2453" s="55"/>
      <c r="B2453"/>
    </row>
    <row r="2454" spans="1:2">
      <c r="A2454" s="55"/>
      <c r="B2454"/>
    </row>
    <row r="2455" spans="1:2">
      <c r="A2455" s="55"/>
      <c r="B2455"/>
    </row>
    <row r="2456" spans="1:2">
      <c r="A2456" s="55"/>
      <c r="B2456"/>
    </row>
    <row r="2457" spans="1:2">
      <c r="A2457" s="55"/>
      <c r="B2457"/>
    </row>
    <row r="2458" spans="1:2">
      <c r="A2458" s="55"/>
      <c r="B2458"/>
    </row>
    <row r="2459" spans="1:2">
      <c r="A2459" s="55"/>
      <c r="B2459"/>
    </row>
    <row r="2460" spans="1:2">
      <c r="A2460" s="55"/>
      <c r="B2460"/>
    </row>
    <row r="2461" spans="1:2">
      <c r="A2461" s="55"/>
      <c r="B2461"/>
    </row>
    <row r="2462" spans="1:2">
      <c r="A2462" s="55"/>
      <c r="B2462"/>
    </row>
    <row r="2463" spans="1:2">
      <c r="A2463" s="55"/>
      <c r="B2463"/>
    </row>
    <row r="2464" spans="1:2">
      <c r="A2464" s="55"/>
      <c r="B2464"/>
    </row>
    <row r="2465" spans="1:2">
      <c r="A2465" s="55"/>
      <c r="B2465"/>
    </row>
    <row r="2466" spans="1:2">
      <c r="A2466" s="55"/>
      <c r="B2466"/>
    </row>
    <row r="2467" spans="1:2">
      <c r="A2467" s="55"/>
      <c r="B2467"/>
    </row>
    <row r="2468" spans="1:2">
      <c r="A2468" s="55"/>
      <c r="B2468"/>
    </row>
    <row r="2469" spans="1:2">
      <c r="A2469" s="55"/>
      <c r="B2469"/>
    </row>
    <row r="2470" spans="1:2">
      <c r="A2470" s="55"/>
      <c r="B2470"/>
    </row>
    <row r="2471" spans="1:2">
      <c r="A2471" s="55"/>
      <c r="B2471"/>
    </row>
    <row r="2472" spans="1:2">
      <c r="A2472" s="55"/>
      <c r="B2472"/>
    </row>
    <row r="2473" spans="1:2">
      <c r="A2473" s="55"/>
      <c r="B2473"/>
    </row>
    <row r="2474" spans="1:2">
      <c r="A2474" s="55"/>
      <c r="B2474"/>
    </row>
    <row r="2475" spans="1:2">
      <c r="A2475" s="55"/>
      <c r="B2475"/>
    </row>
    <row r="2476" spans="1:2">
      <c r="A2476" s="55"/>
      <c r="B2476"/>
    </row>
    <row r="2477" spans="1:2">
      <c r="A2477" s="55"/>
      <c r="B2477"/>
    </row>
    <row r="2478" spans="1:2">
      <c r="A2478" s="55"/>
      <c r="B2478"/>
    </row>
    <row r="2479" spans="1:2">
      <c r="A2479" s="55"/>
      <c r="B2479"/>
    </row>
    <row r="2480" spans="1:2">
      <c r="A2480" s="55"/>
      <c r="B2480"/>
    </row>
    <row r="2481" spans="1:2">
      <c r="A2481" s="55"/>
      <c r="B2481"/>
    </row>
    <row r="2482" spans="1:2">
      <c r="A2482" s="55"/>
      <c r="B2482"/>
    </row>
    <row r="2483" spans="1:2">
      <c r="A2483" s="55"/>
      <c r="B2483"/>
    </row>
    <row r="2484" spans="1:2">
      <c r="A2484" s="55"/>
      <c r="B2484"/>
    </row>
    <row r="2485" spans="1:2">
      <c r="A2485" s="55"/>
      <c r="B2485"/>
    </row>
    <row r="2486" spans="1:2">
      <c r="A2486" s="55"/>
      <c r="B2486"/>
    </row>
    <row r="2487" spans="1:2">
      <c r="A2487" s="55"/>
      <c r="B2487"/>
    </row>
    <row r="2488" spans="1:2">
      <c r="A2488" s="55"/>
      <c r="B2488"/>
    </row>
    <row r="2489" spans="1:2">
      <c r="A2489" s="55"/>
      <c r="B2489"/>
    </row>
    <row r="2490" spans="1:2">
      <c r="A2490" s="55"/>
      <c r="B2490"/>
    </row>
    <row r="2491" spans="1:2">
      <c r="A2491" s="55"/>
      <c r="B2491"/>
    </row>
    <row r="2492" spans="1:2">
      <c r="A2492" s="55"/>
      <c r="B2492"/>
    </row>
    <row r="2493" spans="1:2">
      <c r="A2493" s="55"/>
      <c r="B2493"/>
    </row>
    <row r="2494" spans="1:2">
      <c r="A2494" s="55"/>
      <c r="B2494"/>
    </row>
    <row r="2495" spans="1:2">
      <c r="A2495" s="55"/>
      <c r="B2495"/>
    </row>
    <row r="2496" spans="1:2">
      <c r="A2496" s="55"/>
      <c r="B2496"/>
    </row>
    <row r="2497" spans="1:2">
      <c r="A2497" s="55"/>
      <c r="B2497"/>
    </row>
    <row r="2498" spans="1:2">
      <c r="A2498" s="55"/>
      <c r="B2498"/>
    </row>
    <row r="2499" spans="1:2">
      <c r="A2499" s="55"/>
      <c r="B2499"/>
    </row>
    <row r="2500" spans="1:2">
      <c r="A2500" s="55"/>
      <c r="B2500"/>
    </row>
    <row r="2501" spans="1:2">
      <c r="A2501" s="55"/>
      <c r="B2501"/>
    </row>
    <row r="2502" spans="1:2">
      <c r="A2502" s="55"/>
      <c r="B2502"/>
    </row>
    <row r="2503" spans="1:2">
      <c r="A2503" s="55"/>
      <c r="B2503"/>
    </row>
    <row r="2504" spans="1:2">
      <c r="A2504" s="55"/>
      <c r="B2504"/>
    </row>
    <row r="2505" spans="1:2">
      <c r="A2505" s="55"/>
      <c r="B2505"/>
    </row>
    <row r="2506" spans="1:2">
      <c r="A2506" s="55"/>
      <c r="B2506"/>
    </row>
    <row r="2507" spans="1:2">
      <c r="A2507" s="55"/>
      <c r="B2507"/>
    </row>
    <row r="2508" spans="1:2">
      <c r="A2508" s="55"/>
      <c r="B2508"/>
    </row>
    <row r="2509" spans="1:2">
      <c r="A2509" s="55"/>
      <c r="B2509"/>
    </row>
    <row r="2510" spans="1:2">
      <c r="A2510" s="55"/>
      <c r="B2510"/>
    </row>
    <row r="2511" spans="1:2">
      <c r="A2511" s="55"/>
      <c r="B2511"/>
    </row>
    <row r="2512" spans="1:2">
      <c r="A2512" s="55"/>
      <c r="B2512"/>
    </row>
    <row r="2513" spans="1:2">
      <c r="A2513" s="55"/>
      <c r="B2513"/>
    </row>
    <row r="2514" spans="1:2">
      <c r="A2514" s="55"/>
      <c r="B2514"/>
    </row>
    <row r="2515" spans="1:2">
      <c r="A2515" s="55"/>
      <c r="B2515"/>
    </row>
    <row r="2516" spans="1:2">
      <c r="A2516" s="55"/>
      <c r="B2516"/>
    </row>
    <row r="2517" spans="1:2">
      <c r="A2517" s="55"/>
      <c r="B2517"/>
    </row>
    <row r="2518" spans="1:2">
      <c r="A2518" s="55"/>
      <c r="B2518"/>
    </row>
    <row r="2519" spans="1:2">
      <c r="A2519" s="55"/>
      <c r="B2519"/>
    </row>
    <row r="2520" spans="1:2">
      <c r="A2520" s="55"/>
      <c r="B2520"/>
    </row>
    <row r="2521" spans="1:2">
      <c r="A2521" s="55"/>
      <c r="B2521"/>
    </row>
    <row r="2522" spans="1:2">
      <c r="A2522" s="55"/>
      <c r="B2522"/>
    </row>
    <row r="2523" spans="1:2">
      <c r="A2523" s="55"/>
      <c r="B2523"/>
    </row>
    <row r="2524" spans="1:2">
      <c r="A2524" s="55"/>
      <c r="B2524"/>
    </row>
    <row r="2525" spans="1:2">
      <c r="A2525" s="55"/>
      <c r="B2525"/>
    </row>
    <row r="2526" spans="1:2">
      <c r="A2526" s="55"/>
      <c r="B2526"/>
    </row>
    <row r="2527" spans="1:2">
      <c r="A2527" s="55"/>
      <c r="B2527"/>
    </row>
    <row r="2528" spans="1:2">
      <c r="A2528" s="55"/>
      <c r="B2528"/>
    </row>
    <row r="2529" spans="1:2">
      <c r="A2529" s="55"/>
      <c r="B2529"/>
    </row>
    <row r="2530" spans="1:2">
      <c r="A2530" s="55"/>
      <c r="B2530"/>
    </row>
    <row r="2531" spans="1:2">
      <c r="A2531" s="55"/>
      <c r="B2531"/>
    </row>
    <row r="2532" spans="1:2">
      <c r="A2532" s="55"/>
      <c r="B2532"/>
    </row>
    <row r="2533" spans="1:2">
      <c r="A2533" s="55"/>
      <c r="B2533"/>
    </row>
    <row r="2534" spans="1:2">
      <c r="A2534" s="55"/>
      <c r="B2534"/>
    </row>
    <row r="2535" spans="1:2">
      <c r="A2535" s="55"/>
      <c r="B2535"/>
    </row>
    <row r="2536" spans="1:2">
      <c r="A2536" s="55"/>
      <c r="B2536"/>
    </row>
    <row r="2537" spans="1:2">
      <c r="A2537" s="55"/>
      <c r="B2537"/>
    </row>
    <row r="2538" spans="1:2">
      <c r="A2538" s="55"/>
      <c r="B2538"/>
    </row>
    <row r="2539" spans="1:2">
      <c r="A2539" s="55"/>
      <c r="B2539"/>
    </row>
    <row r="2540" spans="1:2">
      <c r="A2540" s="55"/>
      <c r="B2540"/>
    </row>
    <row r="2541" spans="1:2">
      <c r="A2541" s="55"/>
      <c r="B2541"/>
    </row>
    <row r="2542" spans="1:2">
      <c r="A2542" s="55"/>
      <c r="B2542"/>
    </row>
    <row r="2543" spans="1:2">
      <c r="A2543" s="55"/>
      <c r="B2543"/>
    </row>
    <row r="2544" spans="1:2">
      <c r="A2544" s="55"/>
      <c r="B2544"/>
    </row>
    <row r="2545" spans="1:2">
      <c r="A2545" s="55"/>
      <c r="B2545"/>
    </row>
    <row r="2546" spans="1:2">
      <c r="A2546" s="55"/>
      <c r="B2546"/>
    </row>
    <row r="2547" spans="1:2">
      <c r="A2547" s="55"/>
      <c r="B2547"/>
    </row>
    <row r="2548" spans="1:2">
      <c r="A2548" s="55"/>
      <c r="B2548"/>
    </row>
    <row r="2549" spans="1:2">
      <c r="A2549" s="55"/>
      <c r="B2549"/>
    </row>
    <row r="2550" spans="1:2">
      <c r="A2550" s="55"/>
      <c r="B2550"/>
    </row>
    <row r="2551" spans="1:2">
      <c r="A2551" s="55"/>
      <c r="B2551"/>
    </row>
    <row r="2552" spans="1:2">
      <c r="A2552" s="55"/>
      <c r="B2552"/>
    </row>
    <row r="2553" spans="1:2">
      <c r="A2553" s="55"/>
      <c r="B2553"/>
    </row>
    <row r="2554" spans="1:2">
      <c r="A2554" s="55"/>
      <c r="B2554"/>
    </row>
    <row r="2555" spans="1:2">
      <c r="A2555" s="55"/>
      <c r="B2555"/>
    </row>
    <row r="2556" spans="1:2">
      <c r="A2556" s="55"/>
      <c r="B2556"/>
    </row>
    <row r="2557" spans="1:2">
      <c r="A2557" s="55"/>
      <c r="B2557"/>
    </row>
    <row r="2558" spans="1:2">
      <c r="A2558" s="55"/>
      <c r="B2558"/>
    </row>
    <row r="2559" spans="1:2">
      <c r="A2559" s="55"/>
      <c r="B2559"/>
    </row>
    <row r="2560" spans="1:2">
      <c r="A2560" s="55"/>
      <c r="B2560"/>
    </row>
    <row r="2561" spans="1:2">
      <c r="A2561" s="55"/>
      <c r="B2561"/>
    </row>
    <row r="2562" spans="1:2">
      <c r="A2562" s="55"/>
      <c r="B2562"/>
    </row>
    <row r="2563" spans="1:2">
      <c r="A2563" s="55"/>
      <c r="B2563"/>
    </row>
    <row r="2564" spans="1:2">
      <c r="A2564" s="55"/>
      <c r="B2564"/>
    </row>
    <row r="2565" spans="1:2">
      <c r="A2565" s="55"/>
      <c r="B2565"/>
    </row>
    <row r="2566" spans="1:2">
      <c r="A2566" s="55"/>
      <c r="B2566"/>
    </row>
    <row r="2567" spans="1:2">
      <c r="A2567" s="55"/>
      <c r="B2567"/>
    </row>
    <row r="2568" spans="1:2">
      <c r="A2568" s="55"/>
      <c r="B2568"/>
    </row>
    <row r="2569" spans="1:2">
      <c r="A2569" s="55"/>
      <c r="B2569"/>
    </row>
    <row r="2570" spans="1:2">
      <c r="A2570" s="55"/>
      <c r="B2570"/>
    </row>
    <row r="2571" spans="1:2">
      <c r="A2571" s="55"/>
      <c r="B2571"/>
    </row>
    <row r="2572" spans="1:2">
      <c r="A2572" s="55"/>
      <c r="B2572"/>
    </row>
    <row r="2573" spans="1:2">
      <c r="A2573" s="55"/>
      <c r="B2573"/>
    </row>
    <row r="2574" spans="1:2">
      <c r="A2574" s="55"/>
      <c r="B2574"/>
    </row>
    <row r="2575" spans="1:2">
      <c r="A2575" s="55"/>
      <c r="B2575"/>
    </row>
    <row r="2576" spans="1:2">
      <c r="A2576" s="55"/>
      <c r="B2576"/>
    </row>
    <row r="2577" spans="1:2">
      <c r="A2577" s="55"/>
      <c r="B2577"/>
    </row>
    <row r="2578" spans="1:2">
      <c r="A2578" s="55"/>
      <c r="B2578"/>
    </row>
    <row r="2579" spans="1:2">
      <c r="A2579" s="55"/>
      <c r="B2579"/>
    </row>
    <row r="2580" spans="1:2">
      <c r="A2580" s="55"/>
      <c r="B2580"/>
    </row>
    <row r="2581" spans="1:2">
      <c r="A2581" s="55"/>
      <c r="B2581"/>
    </row>
    <row r="2582" spans="1:2">
      <c r="A2582" s="55"/>
      <c r="B2582"/>
    </row>
    <row r="2583" spans="1:2">
      <c r="A2583" s="55"/>
      <c r="B2583"/>
    </row>
    <row r="2584" spans="1:2">
      <c r="A2584" s="55"/>
      <c r="B2584"/>
    </row>
    <row r="2585" spans="1:2">
      <c r="A2585" s="55"/>
      <c r="B2585"/>
    </row>
    <row r="2586" spans="1:2">
      <c r="A2586" s="55"/>
      <c r="B2586"/>
    </row>
    <row r="2587" spans="1:2">
      <c r="A2587" s="55"/>
      <c r="B2587"/>
    </row>
    <row r="2588" spans="1:2">
      <c r="A2588" s="55"/>
      <c r="B2588"/>
    </row>
    <row r="2589" spans="1:2">
      <c r="A2589" s="55"/>
      <c r="B2589"/>
    </row>
    <row r="2590" spans="1:2">
      <c r="A2590" s="55"/>
      <c r="B2590"/>
    </row>
    <row r="2591" spans="1:2">
      <c r="A2591" s="55"/>
      <c r="B2591"/>
    </row>
    <row r="2592" spans="1:2">
      <c r="A2592" s="55"/>
      <c r="B2592"/>
    </row>
    <row r="2593" spans="1:2">
      <c r="A2593" s="55"/>
      <c r="B2593"/>
    </row>
    <row r="2594" spans="1:2">
      <c r="A2594" s="55"/>
      <c r="B2594"/>
    </row>
    <row r="2595" spans="1:2">
      <c r="A2595" s="55"/>
      <c r="B2595"/>
    </row>
    <row r="2596" spans="1:2">
      <c r="A2596" s="55"/>
      <c r="B2596"/>
    </row>
    <row r="2597" spans="1:2">
      <c r="A2597" s="55"/>
      <c r="B2597"/>
    </row>
    <row r="2598" spans="1:2">
      <c r="A2598" s="55"/>
      <c r="B2598"/>
    </row>
    <row r="2599" spans="1:2">
      <c r="A2599" s="55"/>
      <c r="B2599"/>
    </row>
    <row r="2600" spans="1:2">
      <c r="A2600" s="55"/>
      <c r="B2600"/>
    </row>
    <row r="2601" spans="1:2">
      <c r="A2601" s="55"/>
      <c r="B2601"/>
    </row>
    <row r="2602" spans="1:2">
      <c r="A2602" s="55"/>
      <c r="B2602"/>
    </row>
    <row r="2603" spans="1:2">
      <c r="A2603" s="55"/>
      <c r="B2603"/>
    </row>
    <row r="2604" spans="1:2">
      <c r="A2604" s="55"/>
      <c r="B2604"/>
    </row>
    <row r="2605" spans="1:2">
      <c r="A2605" s="55"/>
      <c r="B2605"/>
    </row>
    <row r="2606" spans="1:2">
      <c r="A2606" s="55"/>
      <c r="B2606"/>
    </row>
    <row r="2607" spans="1:2">
      <c r="A2607" s="55"/>
      <c r="B2607"/>
    </row>
    <row r="2608" spans="1:2">
      <c r="A2608" s="55"/>
      <c r="B2608"/>
    </row>
    <row r="2609" spans="1:2">
      <c r="A2609" s="55"/>
      <c r="B2609"/>
    </row>
    <row r="2610" spans="1:2">
      <c r="A2610" s="55"/>
      <c r="B2610"/>
    </row>
    <row r="2611" spans="1:2">
      <c r="A2611" s="55"/>
      <c r="B2611"/>
    </row>
    <row r="2612" spans="1:2">
      <c r="A2612" s="55"/>
      <c r="B2612"/>
    </row>
    <row r="2613" spans="1:2">
      <c r="A2613" s="55"/>
      <c r="B2613"/>
    </row>
    <row r="2614" spans="1:2">
      <c r="A2614" s="55"/>
      <c r="B2614"/>
    </row>
    <row r="2615" spans="1:2">
      <c r="A2615" s="55"/>
      <c r="B2615"/>
    </row>
    <row r="2616" spans="1:2">
      <c r="A2616" s="55"/>
      <c r="B2616"/>
    </row>
    <row r="2617" spans="1:2">
      <c r="A2617" s="55"/>
      <c r="B2617"/>
    </row>
    <row r="2618" spans="1:2">
      <c r="A2618" s="55"/>
      <c r="B2618"/>
    </row>
    <row r="2619" spans="1:2">
      <c r="A2619" s="55"/>
      <c r="B2619"/>
    </row>
    <row r="2620" spans="1:2">
      <c r="A2620" s="55"/>
      <c r="B2620"/>
    </row>
    <row r="2621" spans="1:2">
      <c r="A2621" s="55"/>
      <c r="B2621"/>
    </row>
    <row r="2622" spans="1:2">
      <c r="A2622" s="55"/>
      <c r="B2622"/>
    </row>
    <row r="2623" spans="1:2">
      <c r="A2623" s="55"/>
      <c r="B2623"/>
    </row>
    <row r="2624" spans="1:2">
      <c r="A2624" s="55"/>
      <c r="B2624"/>
    </row>
    <row r="2625" spans="1:2">
      <c r="A2625" s="55"/>
      <c r="B2625"/>
    </row>
    <row r="2626" spans="1:2">
      <c r="A2626" s="55"/>
      <c r="B2626"/>
    </row>
    <row r="2627" spans="1:2">
      <c r="A2627" s="55"/>
      <c r="B2627"/>
    </row>
    <row r="2628" spans="1:2">
      <c r="A2628" s="55"/>
      <c r="B2628"/>
    </row>
    <row r="2629" spans="1:2">
      <c r="A2629" s="55"/>
      <c r="B2629"/>
    </row>
    <row r="2630" spans="1:2">
      <c r="A2630" s="55"/>
      <c r="B2630"/>
    </row>
    <row r="2631" spans="1:2">
      <c r="A2631" s="55"/>
      <c r="B2631"/>
    </row>
    <row r="2632" spans="1:2">
      <c r="A2632" s="55"/>
      <c r="B2632"/>
    </row>
    <row r="2633" spans="1:2">
      <c r="A2633" s="55"/>
      <c r="B2633"/>
    </row>
    <row r="2634" spans="1:2">
      <c r="A2634" s="55"/>
      <c r="B2634"/>
    </row>
    <row r="2635" spans="1:2">
      <c r="A2635" s="55"/>
      <c r="B2635"/>
    </row>
    <row r="2636" spans="1:2">
      <c r="A2636" s="55"/>
      <c r="B2636"/>
    </row>
    <row r="2637" spans="1:2">
      <c r="A2637" s="55"/>
      <c r="B2637"/>
    </row>
    <row r="2638" spans="1:2">
      <c r="A2638" s="55"/>
      <c r="B2638"/>
    </row>
    <row r="2639" spans="1:2">
      <c r="A2639" s="55"/>
      <c r="B2639"/>
    </row>
    <row r="2640" spans="1:2">
      <c r="A2640" s="55"/>
      <c r="B2640"/>
    </row>
    <row r="2641" spans="1:2">
      <c r="A2641" s="55"/>
      <c r="B2641"/>
    </row>
    <row r="2642" spans="1:2">
      <c r="A2642" s="55"/>
      <c r="B2642"/>
    </row>
    <row r="2643" spans="1:2">
      <c r="A2643" s="55"/>
      <c r="B2643"/>
    </row>
    <row r="2644" spans="1:2">
      <c r="A2644" s="55"/>
      <c r="B2644"/>
    </row>
    <row r="2645" spans="1:2">
      <c r="A2645" s="55"/>
      <c r="B2645"/>
    </row>
    <row r="2646" spans="1:2">
      <c r="A2646" s="55"/>
      <c r="B2646"/>
    </row>
    <row r="2647" spans="1:2">
      <c r="A2647" s="55"/>
      <c r="B2647"/>
    </row>
    <row r="2648" spans="1:2">
      <c r="A2648" s="55"/>
      <c r="B2648"/>
    </row>
    <row r="2649" spans="1:2">
      <c r="A2649" s="55"/>
      <c r="B2649"/>
    </row>
    <row r="2650" spans="1:2">
      <c r="A2650" s="55"/>
      <c r="B2650"/>
    </row>
    <row r="2651" spans="1:2">
      <c r="A2651" s="55"/>
      <c r="B2651"/>
    </row>
    <row r="2652" spans="1:2">
      <c r="A2652" s="55"/>
      <c r="B2652"/>
    </row>
    <row r="2653" spans="1:2">
      <c r="A2653" s="55"/>
      <c r="B2653"/>
    </row>
    <row r="2654" spans="1:2">
      <c r="A2654" s="55"/>
      <c r="B2654"/>
    </row>
    <row r="2655" spans="1:2">
      <c r="A2655" s="55"/>
      <c r="B2655"/>
    </row>
    <row r="2656" spans="1:2">
      <c r="A2656" s="55"/>
      <c r="B2656"/>
    </row>
    <row r="2657" spans="1:2">
      <c r="A2657" s="55"/>
      <c r="B2657"/>
    </row>
    <row r="2658" spans="1:2">
      <c r="A2658" s="55"/>
      <c r="B2658"/>
    </row>
    <row r="2659" spans="1:2">
      <c r="A2659" s="55"/>
      <c r="B2659"/>
    </row>
    <row r="2660" spans="1:2">
      <c r="A2660" s="55"/>
      <c r="B2660"/>
    </row>
    <row r="2661" spans="1:2">
      <c r="A2661" s="55"/>
      <c r="B2661"/>
    </row>
    <row r="2662" spans="1:2">
      <c r="A2662" s="55"/>
      <c r="B2662"/>
    </row>
    <row r="2663" spans="1:2">
      <c r="A2663" s="55"/>
      <c r="B2663"/>
    </row>
    <row r="2664" spans="1:2">
      <c r="A2664" s="55"/>
      <c r="B2664"/>
    </row>
    <row r="2665" spans="1:2">
      <c r="A2665" s="55"/>
      <c r="B2665"/>
    </row>
    <row r="2666" spans="1:2">
      <c r="A2666" s="55"/>
      <c r="B2666"/>
    </row>
    <row r="2667" spans="1:2">
      <c r="A2667" s="55"/>
      <c r="B2667"/>
    </row>
    <row r="2668" spans="1:2">
      <c r="A2668" s="55"/>
      <c r="B2668"/>
    </row>
    <row r="2669" spans="1:2">
      <c r="A2669" s="55"/>
      <c r="B2669"/>
    </row>
    <row r="2670" spans="1:2">
      <c r="A2670" s="55"/>
      <c r="B2670"/>
    </row>
    <row r="2671" spans="1:2">
      <c r="A2671" s="55"/>
      <c r="B2671"/>
    </row>
    <row r="2672" spans="1:2">
      <c r="A2672" s="55"/>
      <c r="B2672"/>
    </row>
    <row r="2673" spans="1:2">
      <c r="A2673" s="55"/>
      <c r="B2673"/>
    </row>
    <row r="2674" spans="1:2">
      <c r="A2674" s="55"/>
      <c r="B2674"/>
    </row>
    <row r="2675" spans="1:2">
      <c r="A2675" s="55"/>
      <c r="B2675"/>
    </row>
    <row r="2676" spans="1:2">
      <c r="A2676" s="55"/>
      <c r="B2676"/>
    </row>
    <row r="2677" spans="1:2">
      <c r="A2677" s="55"/>
      <c r="B2677"/>
    </row>
    <row r="2678" spans="1:2">
      <c r="A2678" s="55"/>
      <c r="B2678"/>
    </row>
    <row r="2679" spans="1:2">
      <c r="A2679" s="55"/>
      <c r="B2679"/>
    </row>
    <row r="2680" spans="1:2">
      <c r="A2680" s="55"/>
      <c r="B2680"/>
    </row>
    <row r="2681" spans="1:2">
      <c r="A2681" s="55"/>
      <c r="B2681"/>
    </row>
    <row r="2682" spans="1:2">
      <c r="A2682" s="55"/>
      <c r="B2682"/>
    </row>
    <row r="2683" spans="1:2">
      <c r="A2683" s="55"/>
      <c r="B2683"/>
    </row>
    <row r="2684" spans="1:2">
      <c r="A2684" s="55"/>
      <c r="B2684"/>
    </row>
    <row r="2685" spans="1:2">
      <c r="A2685" s="55"/>
      <c r="B2685"/>
    </row>
    <row r="2686" spans="1:2">
      <c r="A2686" s="55"/>
      <c r="B2686"/>
    </row>
    <row r="2687" spans="1:2">
      <c r="A2687" s="55"/>
      <c r="B2687"/>
    </row>
    <row r="2688" spans="1:2">
      <c r="A2688" s="55"/>
      <c r="B2688"/>
    </row>
    <row r="2689" spans="1:2">
      <c r="A2689" s="55"/>
      <c r="B2689"/>
    </row>
    <row r="2690" spans="1:2">
      <c r="A2690" s="55"/>
      <c r="B2690"/>
    </row>
    <row r="2691" spans="1:2">
      <c r="A2691" s="55"/>
      <c r="B2691"/>
    </row>
    <row r="2692" spans="1:2">
      <c r="A2692" s="55"/>
      <c r="B2692"/>
    </row>
    <row r="2693" spans="1:2">
      <c r="A2693" s="55"/>
      <c r="B2693"/>
    </row>
    <row r="2694" spans="1:2">
      <c r="A2694" s="55"/>
      <c r="B2694"/>
    </row>
    <row r="2695" spans="1:2">
      <c r="A2695" s="55"/>
      <c r="B2695"/>
    </row>
    <row r="2696" spans="1:2">
      <c r="A2696" s="55"/>
      <c r="B2696"/>
    </row>
    <row r="2697" spans="1:2">
      <c r="A2697" s="55"/>
      <c r="B2697"/>
    </row>
    <row r="2698" spans="1:2">
      <c r="A2698" s="55"/>
      <c r="B2698"/>
    </row>
    <row r="2699" spans="1:2">
      <c r="A2699" s="55"/>
      <c r="B2699"/>
    </row>
    <row r="2700" spans="1:2">
      <c r="A2700" s="55"/>
      <c r="B2700"/>
    </row>
    <row r="2701" spans="1:2">
      <c r="A2701" s="55"/>
      <c r="B2701"/>
    </row>
    <row r="2702" spans="1:2">
      <c r="A2702" s="55"/>
      <c r="B2702"/>
    </row>
    <row r="2703" spans="1:2">
      <c r="A2703" s="55"/>
      <c r="B2703"/>
    </row>
    <row r="2704" spans="1:2">
      <c r="A2704" s="55"/>
      <c r="B2704"/>
    </row>
    <row r="2705" spans="1:2">
      <c r="A2705" s="55"/>
      <c r="B2705"/>
    </row>
    <row r="2706" spans="1:2">
      <c r="A2706" s="55"/>
      <c r="B2706"/>
    </row>
    <row r="2707" spans="1:2">
      <c r="A2707" s="55"/>
      <c r="B2707"/>
    </row>
    <row r="2708" spans="1:2">
      <c r="A2708" s="55"/>
      <c r="B2708"/>
    </row>
    <row r="2709" spans="1:2">
      <c r="A2709" s="55"/>
      <c r="B2709"/>
    </row>
    <row r="2710" spans="1:2">
      <c r="A2710" s="55"/>
      <c r="B2710"/>
    </row>
    <row r="2711" spans="1:2">
      <c r="A2711" s="55"/>
      <c r="B2711"/>
    </row>
    <row r="2712" spans="1:2">
      <c r="A2712" s="55"/>
      <c r="B2712"/>
    </row>
    <row r="2713" spans="1:2">
      <c r="A2713" s="55"/>
      <c r="B2713"/>
    </row>
    <row r="2714" spans="1:2">
      <c r="A2714" s="55"/>
      <c r="B2714"/>
    </row>
    <row r="2715" spans="1:2">
      <c r="A2715" s="55"/>
      <c r="B2715"/>
    </row>
    <row r="2716" spans="1:2">
      <c r="A2716" s="55"/>
      <c r="B2716"/>
    </row>
    <row r="2717" spans="1:2">
      <c r="A2717" s="55"/>
      <c r="B2717"/>
    </row>
    <row r="2718" spans="1:2">
      <c r="A2718" s="55"/>
      <c r="B2718"/>
    </row>
    <row r="2719" spans="1:2">
      <c r="A2719" s="55"/>
      <c r="B2719"/>
    </row>
    <row r="2720" spans="1:2">
      <c r="A2720" s="55"/>
      <c r="B2720"/>
    </row>
    <row r="2721" spans="1:2">
      <c r="A2721" s="55"/>
      <c r="B2721"/>
    </row>
    <row r="2722" spans="1:2">
      <c r="A2722" s="55"/>
      <c r="B2722"/>
    </row>
    <row r="2723" spans="1:2">
      <c r="A2723" s="55"/>
      <c r="B2723"/>
    </row>
    <row r="2724" spans="1:2">
      <c r="A2724" s="55"/>
      <c r="B2724"/>
    </row>
    <row r="2725" spans="1:2">
      <c r="A2725" s="55"/>
      <c r="B2725"/>
    </row>
    <row r="2726" spans="1:2">
      <c r="A2726" s="55"/>
      <c r="B2726"/>
    </row>
    <row r="2727" spans="1:2">
      <c r="A2727" s="55"/>
      <c r="B2727"/>
    </row>
    <row r="2728" spans="1:2">
      <c r="A2728" s="55"/>
      <c r="B2728"/>
    </row>
    <row r="2729" spans="1:2">
      <c r="A2729" s="55"/>
      <c r="B2729"/>
    </row>
    <row r="2730" spans="1:2">
      <c r="A2730" s="55"/>
      <c r="B2730"/>
    </row>
    <row r="2731" spans="1:2">
      <c r="A2731" s="55"/>
      <c r="B2731"/>
    </row>
    <row r="2732" spans="1:2">
      <c r="A2732" s="55"/>
      <c r="B2732"/>
    </row>
    <row r="2733" spans="1:2">
      <c r="A2733" s="55"/>
      <c r="B2733"/>
    </row>
    <row r="2734" spans="1:2">
      <c r="A2734" s="55"/>
      <c r="B2734"/>
    </row>
    <row r="2735" spans="1:2">
      <c r="A2735" s="55"/>
      <c r="B2735"/>
    </row>
    <row r="2736" spans="1:2">
      <c r="A2736" s="55"/>
      <c r="B2736"/>
    </row>
    <row r="2737" spans="1:2">
      <c r="A2737" s="55"/>
      <c r="B2737"/>
    </row>
    <row r="2738" spans="1:2">
      <c r="A2738" s="55"/>
      <c r="B2738"/>
    </row>
    <row r="2739" spans="1:2">
      <c r="A2739" s="55"/>
      <c r="B2739"/>
    </row>
    <row r="2740" spans="1:2">
      <c r="A2740" s="55"/>
      <c r="B2740"/>
    </row>
    <row r="2741" spans="1:2">
      <c r="A2741" s="55"/>
      <c r="B2741"/>
    </row>
    <row r="2742" spans="1:2">
      <c r="A2742" s="55"/>
      <c r="B2742"/>
    </row>
    <row r="2743" spans="1:2">
      <c r="A2743" s="55"/>
      <c r="B2743"/>
    </row>
    <row r="2744" spans="1:2">
      <c r="A2744" s="55"/>
      <c r="B2744"/>
    </row>
    <row r="2745" spans="1:2">
      <c r="A2745" s="55"/>
      <c r="B2745"/>
    </row>
    <row r="2746" spans="1:2">
      <c r="A2746" s="55"/>
      <c r="B2746"/>
    </row>
    <row r="2747" spans="1:2">
      <c r="A2747" s="55"/>
      <c r="B2747"/>
    </row>
    <row r="2748" spans="1:2">
      <c r="A2748" s="55"/>
      <c r="B2748"/>
    </row>
    <row r="2749" spans="1:2">
      <c r="A2749" s="55"/>
      <c r="B2749"/>
    </row>
    <row r="2750" spans="1:2">
      <c r="A2750" s="55"/>
      <c r="B2750"/>
    </row>
    <row r="2751" spans="1:2">
      <c r="A2751" s="55"/>
      <c r="B2751"/>
    </row>
    <row r="2752" spans="1:2">
      <c r="A2752" s="55"/>
      <c r="B2752"/>
    </row>
    <row r="2753" spans="1:2">
      <c r="A2753" s="55"/>
      <c r="B2753"/>
    </row>
    <row r="2754" spans="1:2">
      <c r="A2754" s="55"/>
      <c r="B2754"/>
    </row>
    <row r="2755" spans="1:2">
      <c r="A2755" s="55"/>
      <c r="B2755"/>
    </row>
    <row r="2756" spans="1:2">
      <c r="A2756" s="55"/>
      <c r="B2756"/>
    </row>
    <row r="2757" spans="1:2">
      <c r="A2757" s="55"/>
      <c r="B2757"/>
    </row>
    <row r="2758" spans="1:2">
      <c r="A2758" s="55"/>
      <c r="B2758"/>
    </row>
    <row r="2759" spans="1:2">
      <c r="A2759" s="55"/>
      <c r="B2759"/>
    </row>
    <row r="2760" spans="1:2">
      <c r="A2760" s="55"/>
      <c r="B2760"/>
    </row>
    <row r="2761" spans="1:2">
      <c r="A2761" s="55"/>
      <c r="B2761"/>
    </row>
    <row r="2762" spans="1:2">
      <c r="A2762" s="55"/>
      <c r="B2762"/>
    </row>
    <row r="2763" spans="1:2">
      <c r="A2763" s="55"/>
      <c r="B2763"/>
    </row>
    <row r="2764" spans="1:2">
      <c r="A2764" s="55"/>
      <c r="B2764"/>
    </row>
    <row r="2765" spans="1:2">
      <c r="A2765" s="55"/>
      <c r="B2765"/>
    </row>
    <row r="2766" spans="1:2">
      <c r="A2766" s="55"/>
      <c r="B2766"/>
    </row>
    <row r="2767" spans="1:2">
      <c r="A2767" s="55"/>
      <c r="B2767"/>
    </row>
    <row r="2768" spans="1:2">
      <c r="A2768" s="55"/>
      <c r="B2768"/>
    </row>
    <row r="2769" spans="1:2">
      <c r="A2769" s="55"/>
      <c r="B2769"/>
    </row>
    <row r="2770" spans="1:2">
      <c r="A2770" s="55"/>
      <c r="B2770"/>
    </row>
    <row r="2771" spans="1:2">
      <c r="A2771" s="55"/>
      <c r="B2771"/>
    </row>
    <row r="2772" spans="1:2">
      <c r="A2772" s="55"/>
      <c r="B2772"/>
    </row>
    <row r="2773" spans="1:2">
      <c r="A2773" s="55"/>
      <c r="B2773"/>
    </row>
    <row r="2774" spans="1:2">
      <c r="A2774" s="55"/>
      <c r="B2774"/>
    </row>
    <row r="2775" spans="1:2">
      <c r="A2775" s="55"/>
      <c r="B2775"/>
    </row>
    <row r="2776" spans="1:2">
      <c r="A2776" s="55"/>
      <c r="B2776"/>
    </row>
    <row r="2777" spans="1:2">
      <c r="A2777" s="55"/>
      <c r="B2777"/>
    </row>
    <row r="2778" spans="1:2">
      <c r="A2778" s="55"/>
      <c r="B2778"/>
    </row>
    <row r="2779" spans="1:2">
      <c r="A2779" s="55"/>
      <c r="B2779"/>
    </row>
    <row r="2780" spans="1:2">
      <c r="A2780" s="55"/>
      <c r="B2780"/>
    </row>
    <row r="2781" spans="1:2">
      <c r="A2781" s="55"/>
      <c r="B2781"/>
    </row>
    <row r="2782" spans="1:2">
      <c r="A2782" s="55"/>
      <c r="B2782"/>
    </row>
    <row r="2783" spans="1:2">
      <c r="A2783" s="55"/>
      <c r="B2783"/>
    </row>
    <row r="2784" spans="1:2">
      <c r="A2784" s="55"/>
      <c r="B2784"/>
    </row>
    <row r="2785" spans="1:2">
      <c r="A2785" s="55"/>
      <c r="B2785"/>
    </row>
    <row r="2786" spans="1:2">
      <c r="A2786" s="55"/>
      <c r="B2786"/>
    </row>
    <row r="2787" spans="1:2">
      <c r="A2787" s="55"/>
      <c r="B2787"/>
    </row>
    <row r="2788" spans="1:2">
      <c r="A2788" s="55"/>
      <c r="B2788"/>
    </row>
    <row r="2789" spans="1:2">
      <c r="A2789" s="55"/>
      <c r="B2789"/>
    </row>
    <row r="2790" spans="1:2">
      <c r="A2790" s="55"/>
      <c r="B2790"/>
    </row>
    <row r="2791" spans="1:2">
      <c r="A2791" s="55"/>
      <c r="B2791"/>
    </row>
    <row r="2792" spans="1:2">
      <c r="A2792" s="55"/>
      <c r="B2792"/>
    </row>
    <row r="2793" spans="1:2">
      <c r="A2793" s="55"/>
      <c r="B2793"/>
    </row>
    <row r="2794" spans="1:2">
      <c r="A2794" s="55"/>
      <c r="B2794"/>
    </row>
    <row r="2795" spans="1:2">
      <c r="A2795" s="55"/>
      <c r="B2795"/>
    </row>
    <row r="2796" spans="1:2">
      <c r="A2796" s="55"/>
      <c r="B2796"/>
    </row>
    <row r="2797" spans="1:2">
      <c r="A2797" s="55"/>
      <c r="B2797"/>
    </row>
    <row r="2798" spans="1:2">
      <c r="A2798" s="55"/>
      <c r="B2798"/>
    </row>
    <row r="2799" spans="1:2">
      <c r="A2799" s="55"/>
      <c r="B2799"/>
    </row>
    <row r="2800" spans="1:2">
      <c r="A2800" s="55"/>
      <c r="B2800"/>
    </row>
    <row r="2801" spans="1:2">
      <c r="A2801" s="55"/>
      <c r="B2801"/>
    </row>
    <row r="2802" spans="1:2">
      <c r="A2802" s="55"/>
      <c r="B2802"/>
    </row>
    <row r="2803" spans="1:2">
      <c r="A2803" s="55"/>
      <c r="B2803"/>
    </row>
    <row r="2804" spans="1:2">
      <c r="A2804" s="55"/>
      <c r="B2804"/>
    </row>
    <row r="2805" spans="1:2">
      <c r="A2805" s="55"/>
      <c r="B2805"/>
    </row>
    <row r="2806" spans="1:2">
      <c r="A2806" s="55"/>
      <c r="B2806"/>
    </row>
    <row r="2807" spans="1:2">
      <c r="A2807" s="55"/>
      <c r="B2807"/>
    </row>
    <row r="2808" spans="1:2">
      <c r="A2808" s="55"/>
      <c r="B2808"/>
    </row>
    <row r="2809" spans="1:2">
      <c r="A2809" s="55"/>
      <c r="B2809"/>
    </row>
    <row r="2810" spans="1:2">
      <c r="A2810" s="55"/>
      <c r="B2810"/>
    </row>
    <row r="2811" spans="1:2">
      <c r="A2811" s="55"/>
      <c r="B2811"/>
    </row>
    <row r="2812" spans="1:2">
      <c r="A2812" s="55"/>
      <c r="B2812"/>
    </row>
    <row r="2813" spans="1:2">
      <c r="A2813" s="55"/>
      <c r="B2813"/>
    </row>
    <row r="2814" spans="1:2">
      <c r="A2814" s="55"/>
      <c r="B2814"/>
    </row>
    <row r="2815" spans="1:2">
      <c r="A2815" s="55"/>
      <c r="B2815"/>
    </row>
    <row r="2816" spans="1:2">
      <c r="A2816" s="55"/>
      <c r="B2816"/>
    </row>
    <row r="2817" spans="1:2">
      <c r="A2817" s="55"/>
      <c r="B2817"/>
    </row>
    <row r="2818" spans="1:2">
      <c r="A2818" s="55"/>
      <c r="B2818"/>
    </row>
    <row r="2819" spans="1:2">
      <c r="A2819" s="55"/>
      <c r="B2819"/>
    </row>
    <row r="2820" spans="1:2">
      <c r="A2820" s="55"/>
      <c r="B2820"/>
    </row>
    <row r="2821" spans="1:2">
      <c r="A2821" s="55"/>
      <c r="B2821"/>
    </row>
    <row r="2822" spans="1:2">
      <c r="A2822" s="55"/>
      <c r="B2822"/>
    </row>
    <row r="2823" spans="1:2">
      <c r="A2823" s="55"/>
      <c r="B2823"/>
    </row>
    <row r="2824" spans="1:2">
      <c r="A2824" s="55"/>
      <c r="B2824"/>
    </row>
    <row r="2825" spans="1:2">
      <c r="A2825" s="55"/>
      <c r="B2825"/>
    </row>
    <row r="2826" spans="1:2">
      <c r="A2826" s="55"/>
      <c r="B2826"/>
    </row>
    <row r="2827" spans="1:2">
      <c r="A2827" s="55"/>
      <c r="B2827"/>
    </row>
    <row r="2828" spans="1:2">
      <c r="A2828" s="55"/>
      <c r="B2828"/>
    </row>
    <row r="2829" spans="1:2">
      <c r="A2829" s="55"/>
      <c r="B2829"/>
    </row>
    <row r="2830" spans="1:2">
      <c r="A2830" s="55"/>
      <c r="B2830"/>
    </row>
    <row r="2831" spans="1:2">
      <c r="A2831" s="55"/>
      <c r="B2831"/>
    </row>
    <row r="2832" spans="1:2">
      <c r="A2832" s="55"/>
      <c r="B2832"/>
    </row>
    <row r="2833" spans="1:2">
      <c r="A2833" s="55"/>
      <c r="B2833"/>
    </row>
    <row r="2834" spans="1:2">
      <c r="A2834" s="55"/>
      <c r="B2834"/>
    </row>
    <row r="2835" spans="1:2">
      <c r="A2835" s="55"/>
      <c r="B2835"/>
    </row>
    <row r="2836" spans="1:2">
      <c r="A2836" s="55"/>
      <c r="B2836"/>
    </row>
    <row r="2837" spans="1:2">
      <c r="A2837" s="55"/>
      <c r="B2837"/>
    </row>
    <row r="2838" spans="1:2">
      <c r="A2838" s="55"/>
      <c r="B2838"/>
    </row>
    <row r="2839" spans="1:2">
      <c r="A2839" s="55"/>
      <c r="B2839"/>
    </row>
    <row r="2840" spans="1:2">
      <c r="A2840" s="55"/>
      <c r="B2840"/>
    </row>
    <row r="2841" spans="1:2">
      <c r="A2841" s="55"/>
      <c r="B2841"/>
    </row>
    <row r="2842" spans="1:2">
      <c r="A2842" s="55"/>
      <c r="B2842"/>
    </row>
    <row r="2843" spans="1:2">
      <c r="A2843" s="55"/>
      <c r="B2843"/>
    </row>
    <row r="2844" spans="1:2">
      <c r="A2844" s="55"/>
      <c r="B2844"/>
    </row>
    <row r="2845" spans="1:2">
      <c r="A2845" s="55"/>
      <c r="B2845"/>
    </row>
    <row r="2846" spans="1:2">
      <c r="A2846" s="55"/>
      <c r="B2846"/>
    </row>
    <row r="2847" spans="1:2">
      <c r="A2847" s="55"/>
      <c r="B2847"/>
    </row>
    <row r="2848" spans="1:2">
      <c r="A2848" s="55"/>
      <c r="B2848"/>
    </row>
    <row r="2849" spans="1:2">
      <c r="A2849" s="55"/>
      <c r="B2849"/>
    </row>
    <row r="2850" spans="1:2">
      <c r="A2850" s="55"/>
      <c r="B2850"/>
    </row>
    <row r="2851" spans="1:2">
      <c r="A2851" s="55"/>
      <c r="B2851"/>
    </row>
    <row r="2852" spans="1:2">
      <c r="A2852" s="55"/>
      <c r="B2852"/>
    </row>
    <row r="2853" spans="1:2">
      <c r="A2853" s="55"/>
      <c r="B2853"/>
    </row>
    <row r="2854" spans="1:2">
      <c r="A2854" s="55"/>
      <c r="B2854"/>
    </row>
    <row r="2855" spans="1:2">
      <c r="A2855" s="55"/>
      <c r="B2855"/>
    </row>
    <row r="2856" spans="1:2">
      <c r="A2856" s="55"/>
      <c r="B2856"/>
    </row>
    <row r="2857" spans="1:2">
      <c r="A2857" s="55"/>
      <c r="B2857"/>
    </row>
    <row r="2858" spans="1:2">
      <c r="A2858" s="55"/>
      <c r="B2858"/>
    </row>
    <row r="2859" spans="1:2">
      <c r="A2859" s="55"/>
      <c r="B2859"/>
    </row>
    <row r="2860" spans="1:2">
      <c r="A2860" s="55"/>
      <c r="B2860"/>
    </row>
    <row r="2861" spans="1:2">
      <c r="A2861" s="55"/>
      <c r="B2861"/>
    </row>
    <row r="2862" spans="1:2">
      <c r="A2862" s="55"/>
      <c r="B2862"/>
    </row>
    <row r="2863" spans="1:2">
      <c r="A2863" s="55"/>
      <c r="B2863"/>
    </row>
    <row r="2864" spans="1:2">
      <c r="A2864" s="55"/>
      <c r="B2864"/>
    </row>
    <row r="2865" spans="1:2">
      <c r="A2865" s="55"/>
      <c r="B2865"/>
    </row>
    <row r="2866" spans="1:2">
      <c r="A2866" s="55"/>
      <c r="B2866"/>
    </row>
    <row r="2867" spans="1:2">
      <c r="A2867" s="55"/>
      <c r="B2867"/>
    </row>
    <row r="2868" spans="1:2">
      <c r="A2868" s="55"/>
      <c r="B2868"/>
    </row>
    <row r="2869" spans="1:2">
      <c r="A2869" s="55"/>
      <c r="B2869"/>
    </row>
    <row r="2870" spans="1:2">
      <c r="A2870" s="55"/>
      <c r="B2870"/>
    </row>
    <row r="2871" spans="1:2">
      <c r="A2871" s="55"/>
      <c r="B2871"/>
    </row>
    <row r="2872" spans="1:2">
      <c r="A2872" s="55"/>
      <c r="B2872"/>
    </row>
    <row r="2873" spans="1:2">
      <c r="A2873" s="55"/>
      <c r="B2873"/>
    </row>
    <row r="2874" spans="1:2">
      <c r="A2874" s="55"/>
      <c r="B2874"/>
    </row>
    <row r="2875" spans="1:2">
      <c r="A2875" s="55"/>
      <c r="B2875"/>
    </row>
    <row r="2876" spans="1:2">
      <c r="A2876" s="55"/>
      <c r="B2876"/>
    </row>
    <row r="2877" spans="1:2">
      <c r="A2877" s="55"/>
      <c r="B2877"/>
    </row>
    <row r="2878" spans="1:2">
      <c r="A2878" s="55"/>
      <c r="B2878"/>
    </row>
    <row r="2879" spans="1:2">
      <c r="A2879" s="55"/>
      <c r="B2879"/>
    </row>
    <row r="2880" spans="1:2">
      <c r="A2880" s="55"/>
      <c r="B2880"/>
    </row>
    <row r="2881" spans="1:2">
      <c r="A2881" s="55"/>
      <c r="B2881"/>
    </row>
    <row r="2882" spans="1:2">
      <c r="A2882" s="55"/>
      <c r="B2882"/>
    </row>
    <row r="2883" spans="1:2">
      <c r="A2883" s="55"/>
      <c r="B2883"/>
    </row>
    <row r="2884" spans="1:2">
      <c r="A2884" s="55"/>
      <c r="B2884"/>
    </row>
    <row r="2885" spans="1:2">
      <c r="A2885" s="55"/>
      <c r="B2885"/>
    </row>
    <row r="2886" spans="1:2">
      <c r="A2886" s="55"/>
      <c r="B2886"/>
    </row>
    <row r="2887" spans="1:2">
      <c r="A2887" s="55"/>
      <c r="B2887"/>
    </row>
    <row r="2888" spans="1:2">
      <c r="A2888" s="55"/>
      <c r="B2888"/>
    </row>
    <row r="2889" spans="1:2">
      <c r="A2889" s="55"/>
      <c r="B2889"/>
    </row>
    <row r="2890" spans="1:2">
      <c r="A2890" s="55"/>
      <c r="B2890"/>
    </row>
    <row r="2891" spans="1:2">
      <c r="A2891" s="55"/>
      <c r="B2891"/>
    </row>
    <row r="2892" spans="1:2">
      <c r="A2892" s="55"/>
      <c r="B2892"/>
    </row>
    <row r="2893" spans="1:2">
      <c r="A2893" s="55"/>
      <c r="B2893"/>
    </row>
    <row r="2894" spans="1:2">
      <c r="A2894" s="55"/>
      <c r="B2894"/>
    </row>
    <row r="2895" spans="1:2">
      <c r="A2895" s="55"/>
      <c r="B2895"/>
    </row>
    <row r="2896" spans="1:2">
      <c r="A2896" s="55"/>
      <c r="B2896"/>
    </row>
    <row r="2897" spans="1:2">
      <c r="A2897" s="55"/>
      <c r="B2897"/>
    </row>
    <row r="2898" spans="1:2">
      <c r="A2898" s="55"/>
      <c r="B2898"/>
    </row>
    <row r="2899" spans="1:2">
      <c r="A2899" s="55"/>
      <c r="B2899"/>
    </row>
    <row r="2900" spans="1:2">
      <c r="A2900" s="55"/>
      <c r="B2900"/>
    </row>
    <row r="2901" spans="1:2">
      <c r="A2901" s="55"/>
      <c r="B2901"/>
    </row>
    <row r="2902" spans="1:2">
      <c r="A2902" s="55"/>
      <c r="B2902"/>
    </row>
    <row r="2903" spans="1:2">
      <c r="A2903" s="55"/>
      <c r="B2903"/>
    </row>
    <row r="2904" spans="1:2">
      <c r="A2904" s="55"/>
      <c r="B2904"/>
    </row>
    <row r="2905" spans="1:2">
      <c r="A2905" s="55"/>
      <c r="B2905"/>
    </row>
    <row r="2906" spans="1:2">
      <c r="A2906" s="55"/>
      <c r="B2906"/>
    </row>
    <row r="2907" spans="1:2">
      <c r="A2907" s="55"/>
      <c r="B2907"/>
    </row>
    <row r="2908" spans="1:2">
      <c r="A2908" s="55"/>
      <c r="B2908"/>
    </row>
    <row r="2909" spans="1:2">
      <c r="A2909" s="55"/>
      <c r="B2909"/>
    </row>
    <row r="2910" spans="1:2">
      <c r="A2910" s="55"/>
      <c r="B2910"/>
    </row>
    <row r="2911" spans="1:2">
      <c r="A2911" s="55"/>
      <c r="B2911"/>
    </row>
    <row r="2912" spans="1:2">
      <c r="A2912" s="55"/>
      <c r="B2912"/>
    </row>
    <row r="2913" spans="1:2">
      <c r="A2913" s="55"/>
      <c r="B2913"/>
    </row>
    <row r="2914" spans="1:2">
      <c r="A2914" s="55"/>
      <c r="B2914"/>
    </row>
    <row r="2915" spans="1:2">
      <c r="A2915" s="55"/>
      <c r="B2915"/>
    </row>
    <row r="2916" spans="1:2">
      <c r="A2916" s="55"/>
      <c r="B2916"/>
    </row>
    <row r="2917" spans="1:2">
      <c r="A2917" s="55"/>
      <c r="B2917"/>
    </row>
    <row r="2918" spans="1:2">
      <c r="A2918" s="55"/>
      <c r="B2918"/>
    </row>
    <row r="2919" spans="1:2">
      <c r="A2919" s="55"/>
      <c r="B2919"/>
    </row>
    <row r="2920" spans="1:2">
      <c r="A2920" s="55"/>
      <c r="B2920"/>
    </row>
    <row r="2921" spans="1:2">
      <c r="A2921" s="55"/>
      <c r="B2921"/>
    </row>
    <row r="2922" spans="1:2">
      <c r="A2922" s="55"/>
      <c r="B2922"/>
    </row>
    <row r="2923" spans="1:2">
      <c r="A2923" s="55"/>
      <c r="B2923"/>
    </row>
    <row r="2924" spans="1:2">
      <c r="A2924" s="55"/>
      <c r="B2924"/>
    </row>
    <row r="2925" spans="1:2">
      <c r="A2925" s="55"/>
      <c r="B2925"/>
    </row>
    <row r="2926" spans="1:2">
      <c r="A2926" s="55"/>
      <c r="B2926"/>
    </row>
    <row r="2927" spans="1:2">
      <c r="A2927" s="55"/>
      <c r="B2927"/>
    </row>
    <row r="2928" spans="1:2">
      <c r="A2928" s="55"/>
      <c r="B2928"/>
    </row>
    <row r="2929" spans="1:2">
      <c r="A2929" s="55"/>
      <c r="B2929"/>
    </row>
    <row r="2930" spans="1:2">
      <c r="A2930" s="55"/>
      <c r="B2930"/>
    </row>
    <row r="2931" spans="1:2">
      <c r="A2931" s="55"/>
      <c r="B2931"/>
    </row>
    <row r="2932" spans="1:2">
      <c r="A2932" s="55"/>
      <c r="B2932"/>
    </row>
    <row r="2933" spans="1:2">
      <c r="A2933" s="55"/>
      <c r="B2933"/>
    </row>
    <row r="2934" spans="1:2">
      <c r="A2934" s="55"/>
      <c r="B2934"/>
    </row>
    <row r="2935" spans="1:2">
      <c r="A2935" s="55"/>
      <c r="B2935"/>
    </row>
    <row r="2936" spans="1:2">
      <c r="A2936" s="55"/>
      <c r="B2936"/>
    </row>
    <row r="2937" spans="1:2">
      <c r="A2937" s="55"/>
      <c r="B2937"/>
    </row>
    <row r="2938" spans="1:2">
      <c r="A2938" s="55"/>
      <c r="B2938"/>
    </row>
    <row r="2939" spans="1:2">
      <c r="A2939" s="55"/>
      <c r="B2939"/>
    </row>
    <row r="2940" spans="1:2">
      <c r="A2940" s="55"/>
      <c r="B2940"/>
    </row>
    <row r="2941" spans="1:2">
      <c r="A2941" s="55"/>
      <c r="B2941"/>
    </row>
    <row r="2942" spans="1:2">
      <c r="A2942" s="55"/>
      <c r="B2942"/>
    </row>
    <row r="2943" spans="1:2">
      <c r="A2943" s="55"/>
      <c r="B2943"/>
    </row>
    <row r="2944" spans="1:2">
      <c r="A2944" s="55"/>
      <c r="B2944"/>
    </row>
    <row r="2945" spans="1:2">
      <c r="A2945" s="55"/>
      <c r="B2945"/>
    </row>
    <row r="2946" spans="1:2">
      <c r="A2946" s="55"/>
      <c r="B2946"/>
    </row>
    <row r="2947" spans="1:2">
      <c r="A2947" s="55"/>
      <c r="B2947"/>
    </row>
    <row r="2948" spans="1:2">
      <c r="A2948" s="55"/>
      <c r="B2948"/>
    </row>
    <row r="2949" spans="1:2">
      <c r="A2949" s="55"/>
      <c r="B2949"/>
    </row>
    <row r="2950" spans="1:2">
      <c r="A2950" s="55"/>
      <c r="B2950"/>
    </row>
    <row r="2951" spans="1:2">
      <c r="A2951" s="55"/>
      <c r="B2951"/>
    </row>
    <row r="2952" spans="1:2">
      <c r="A2952" s="55"/>
      <c r="B2952"/>
    </row>
    <row r="2953" spans="1:2">
      <c r="A2953" s="55"/>
      <c r="B2953"/>
    </row>
    <row r="2954" spans="1:2">
      <c r="A2954" s="55"/>
      <c r="B2954"/>
    </row>
    <row r="2955" spans="1:2">
      <c r="A2955" s="55"/>
      <c r="B2955"/>
    </row>
    <row r="2956" spans="1:2">
      <c r="A2956" s="55"/>
      <c r="B2956"/>
    </row>
    <row r="2957" spans="1:2">
      <c r="A2957" s="55"/>
      <c r="B2957"/>
    </row>
    <row r="2958" spans="1:2">
      <c r="A2958" s="55"/>
      <c r="B2958"/>
    </row>
    <row r="2959" spans="1:2">
      <c r="A2959" s="55"/>
      <c r="B2959"/>
    </row>
    <row r="2960" spans="1:2">
      <c r="A2960" s="55"/>
      <c r="B2960"/>
    </row>
    <row r="2961" spans="1:2">
      <c r="A2961" s="55"/>
      <c r="B2961"/>
    </row>
    <row r="2962" spans="1:2">
      <c r="A2962" s="55"/>
      <c r="B2962"/>
    </row>
    <row r="2963" spans="1:2">
      <c r="A2963" s="55"/>
      <c r="B2963"/>
    </row>
    <row r="2964" spans="1:2">
      <c r="A2964" s="55"/>
      <c r="B2964"/>
    </row>
    <row r="2965" spans="1:2">
      <c r="A2965" s="55"/>
      <c r="B2965"/>
    </row>
    <row r="2966" spans="1:2">
      <c r="A2966" s="55"/>
      <c r="B2966"/>
    </row>
    <row r="2967" spans="1:2">
      <c r="A2967" s="55"/>
      <c r="B2967"/>
    </row>
    <row r="2968" spans="1:2">
      <c r="A2968" s="55"/>
      <c r="B2968"/>
    </row>
    <row r="2969" spans="1:2">
      <c r="A2969" s="55"/>
      <c r="B2969"/>
    </row>
    <row r="2970" spans="1:2">
      <c r="A2970" s="55"/>
      <c r="B2970"/>
    </row>
    <row r="2971" spans="1:2">
      <c r="A2971" s="55"/>
      <c r="B2971"/>
    </row>
    <row r="2972" spans="1:2">
      <c r="A2972" s="55"/>
      <c r="B2972"/>
    </row>
    <row r="2973" spans="1:2">
      <c r="A2973" s="55"/>
      <c r="B2973"/>
    </row>
    <row r="2974" spans="1:2">
      <c r="A2974" s="55"/>
      <c r="B2974"/>
    </row>
    <row r="2975" spans="1:2">
      <c r="A2975" s="55"/>
      <c r="B2975"/>
    </row>
    <row r="2976" spans="1:2">
      <c r="A2976" s="55"/>
      <c r="B2976"/>
    </row>
    <row r="2977" spans="1:2">
      <c r="A2977" s="55"/>
      <c r="B2977"/>
    </row>
    <row r="2978" spans="1:2">
      <c r="A2978" s="55"/>
      <c r="B2978"/>
    </row>
    <row r="2979" spans="1:2">
      <c r="A2979" s="55"/>
      <c r="B2979"/>
    </row>
    <row r="2980" spans="1:2">
      <c r="A2980" s="55"/>
      <c r="B2980"/>
    </row>
    <row r="2981" spans="1:2">
      <c r="A2981" s="55"/>
      <c r="B2981"/>
    </row>
    <row r="2982" spans="1:2">
      <c r="A2982" s="55"/>
      <c r="B2982"/>
    </row>
    <row r="2983" spans="1:2">
      <c r="A2983" s="55"/>
      <c r="B2983"/>
    </row>
    <row r="2984" spans="1:2">
      <c r="A2984" s="55"/>
      <c r="B2984"/>
    </row>
    <row r="2985" spans="1:2">
      <c r="A2985" s="55"/>
      <c r="B2985"/>
    </row>
    <row r="2986" spans="1:2">
      <c r="A2986" s="55"/>
      <c r="B2986"/>
    </row>
    <row r="2987" spans="1:2">
      <c r="A2987" s="55"/>
      <c r="B2987"/>
    </row>
    <row r="2988" spans="1:2">
      <c r="A2988" s="55"/>
      <c r="B2988"/>
    </row>
    <row r="2989" spans="1:2">
      <c r="A2989" s="55"/>
      <c r="B2989"/>
    </row>
    <row r="2990" spans="1:2">
      <c r="A2990" s="55"/>
      <c r="B2990"/>
    </row>
    <row r="2991" spans="1:2">
      <c r="A2991" s="55"/>
      <c r="B2991"/>
    </row>
    <row r="2992" spans="1:2">
      <c r="A2992" s="55"/>
      <c r="B2992"/>
    </row>
    <row r="2993" spans="1:2">
      <c r="A2993" s="55"/>
      <c r="B2993"/>
    </row>
    <row r="2994" spans="1:2">
      <c r="A2994" s="55"/>
      <c r="B2994"/>
    </row>
    <row r="2995" spans="1:2">
      <c r="A2995" s="55"/>
      <c r="B2995"/>
    </row>
    <row r="2996" spans="1:2">
      <c r="A2996" s="55"/>
      <c r="B2996"/>
    </row>
    <row r="2997" spans="1:2">
      <c r="A2997" s="55"/>
      <c r="B2997"/>
    </row>
    <row r="2998" spans="1:2">
      <c r="A2998" s="55"/>
      <c r="B2998"/>
    </row>
    <row r="2999" spans="1:2">
      <c r="A2999" s="55"/>
      <c r="B2999"/>
    </row>
    <row r="3000" spans="1:2">
      <c r="A3000" s="55"/>
      <c r="B3000"/>
    </row>
    <row r="3001" spans="1:2">
      <c r="A3001" s="55"/>
      <c r="B3001"/>
    </row>
    <row r="3002" spans="1:2">
      <c r="A3002" s="55"/>
      <c r="B3002"/>
    </row>
    <row r="3003" spans="1:2">
      <c r="A3003" s="55"/>
      <c r="B3003"/>
    </row>
    <row r="3004" spans="1:2">
      <c r="A3004" s="55"/>
      <c r="B3004"/>
    </row>
    <row r="3005" spans="1:2">
      <c r="A3005" s="55"/>
      <c r="B3005"/>
    </row>
    <row r="3006" spans="1:2">
      <c r="A3006" s="55"/>
      <c r="B3006"/>
    </row>
    <row r="3007" spans="1:2">
      <c r="A3007" s="55"/>
      <c r="B3007"/>
    </row>
    <row r="3008" spans="1:2">
      <c r="A3008" s="55"/>
      <c r="B3008"/>
    </row>
    <row r="3009" spans="1:2">
      <c r="A3009" s="55"/>
      <c r="B3009"/>
    </row>
    <row r="3010" spans="1:2">
      <c r="A3010" s="55"/>
      <c r="B3010"/>
    </row>
    <row r="3011" spans="1:2">
      <c r="A3011" s="55"/>
      <c r="B3011"/>
    </row>
    <row r="3012" spans="1:2">
      <c r="A3012" s="55"/>
      <c r="B3012"/>
    </row>
    <row r="3013" spans="1:2">
      <c r="A3013" s="55"/>
      <c r="B3013"/>
    </row>
    <row r="3014" spans="1:2">
      <c r="A3014" s="55"/>
      <c r="B3014"/>
    </row>
    <row r="3015" spans="1:2">
      <c r="A3015" s="55"/>
      <c r="B3015"/>
    </row>
    <row r="3016" spans="1:2">
      <c r="A3016" s="55"/>
      <c r="B3016"/>
    </row>
    <row r="3017" spans="1:2">
      <c r="A3017" s="55"/>
      <c r="B3017"/>
    </row>
    <row r="3018" spans="1:2">
      <c r="A3018" s="55"/>
      <c r="B3018"/>
    </row>
    <row r="3019" spans="1:2">
      <c r="A3019" s="55"/>
      <c r="B3019"/>
    </row>
    <row r="3020" spans="1:2">
      <c r="A3020" s="55"/>
      <c r="B3020"/>
    </row>
    <row r="3021" spans="1:2">
      <c r="A3021" s="55"/>
      <c r="B3021"/>
    </row>
    <row r="3022" spans="1:2">
      <c r="A3022" s="55"/>
      <c r="B3022"/>
    </row>
    <row r="3023" spans="1:2">
      <c r="A3023" s="55"/>
      <c r="B3023"/>
    </row>
    <row r="3024" spans="1:2">
      <c r="A3024" s="55"/>
      <c r="B3024"/>
    </row>
    <row r="3025" spans="1:2">
      <c r="A3025" s="55"/>
      <c r="B3025"/>
    </row>
    <row r="3026" spans="1:2">
      <c r="A3026" s="55"/>
      <c r="B3026"/>
    </row>
    <row r="3027" spans="1:2">
      <c r="A3027" s="55"/>
      <c r="B3027"/>
    </row>
    <row r="3028" spans="1:2">
      <c r="A3028" s="55"/>
      <c r="B3028"/>
    </row>
    <row r="3029" spans="1:2">
      <c r="A3029" s="55"/>
      <c r="B3029"/>
    </row>
    <row r="3030" spans="1:2">
      <c r="A3030" s="55"/>
      <c r="B3030"/>
    </row>
    <row r="3031" spans="1:2">
      <c r="A3031" s="55"/>
      <c r="B3031"/>
    </row>
    <row r="3032" spans="1:2">
      <c r="A3032" s="55"/>
      <c r="B3032"/>
    </row>
    <row r="3033" spans="1:2">
      <c r="A3033" s="55"/>
      <c r="B3033"/>
    </row>
    <row r="3034" spans="1:2">
      <c r="A3034" s="55"/>
      <c r="B3034"/>
    </row>
    <row r="3035" spans="1:2">
      <c r="A3035" s="55"/>
      <c r="B3035"/>
    </row>
    <row r="3036" spans="1:2">
      <c r="A3036" s="55"/>
      <c r="B3036"/>
    </row>
    <row r="3037" spans="1:2">
      <c r="A3037" s="55"/>
      <c r="B3037"/>
    </row>
    <row r="3038" spans="1:2">
      <c r="A3038" s="55"/>
      <c r="B3038"/>
    </row>
    <row r="3039" spans="1:2">
      <c r="A3039" s="55"/>
      <c r="B3039"/>
    </row>
    <row r="3040" spans="1:2">
      <c r="A3040" s="55"/>
      <c r="B3040"/>
    </row>
    <row r="3041" spans="1:2">
      <c r="A3041" s="55"/>
      <c r="B3041"/>
    </row>
    <row r="3042" spans="1:2">
      <c r="A3042" s="55"/>
      <c r="B3042"/>
    </row>
    <row r="3043" spans="1:2">
      <c r="A3043" s="55"/>
      <c r="B3043"/>
    </row>
    <row r="3044" spans="1:2">
      <c r="A3044" s="55"/>
      <c r="B3044"/>
    </row>
    <row r="3045" spans="1:2">
      <c r="A3045" s="55"/>
      <c r="B3045"/>
    </row>
    <row r="3046" spans="1:2">
      <c r="A3046" s="55"/>
      <c r="B3046"/>
    </row>
    <row r="3047" spans="1:2">
      <c r="A3047" s="55"/>
      <c r="B3047"/>
    </row>
    <row r="3048" spans="1:2">
      <c r="A3048" s="55"/>
      <c r="B3048"/>
    </row>
    <row r="3049" spans="1:2">
      <c r="A3049" s="55"/>
      <c r="B3049"/>
    </row>
    <row r="3050" spans="1:2">
      <c r="A3050" s="55"/>
      <c r="B3050"/>
    </row>
    <row r="3051" spans="1:2">
      <c r="A3051" s="55"/>
      <c r="B3051"/>
    </row>
    <row r="3052" spans="1:2">
      <c r="A3052" s="55"/>
      <c r="B3052"/>
    </row>
    <row r="3053" spans="1:2">
      <c r="A3053" s="55"/>
      <c r="B3053"/>
    </row>
    <row r="3054" spans="1:2">
      <c r="A3054" s="55"/>
      <c r="B3054"/>
    </row>
    <row r="3055" spans="1:2">
      <c r="A3055" s="55"/>
      <c r="B3055"/>
    </row>
    <row r="3056" spans="1:2">
      <c r="A3056" s="55"/>
      <c r="B3056"/>
    </row>
    <row r="3057" spans="1:2">
      <c r="A3057" s="55"/>
      <c r="B3057"/>
    </row>
    <row r="3058" spans="1:2">
      <c r="A3058" s="55"/>
      <c r="B3058"/>
    </row>
    <row r="3059" spans="1:2">
      <c r="A3059" s="55"/>
      <c r="B3059"/>
    </row>
    <row r="3060" spans="1:2">
      <c r="A3060" s="55"/>
      <c r="B3060"/>
    </row>
    <row r="3061" spans="1:2">
      <c r="A3061" s="55"/>
      <c r="B3061"/>
    </row>
    <row r="3062" spans="1:2">
      <c r="A3062" s="55"/>
      <c r="B3062"/>
    </row>
    <row r="3063" spans="1:2">
      <c r="A3063" s="55"/>
      <c r="B3063"/>
    </row>
    <row r="3064" spans="1:2">
      <c r="A3064" s="55"/>
      <c r="B3064"/>
    </row>
    <row r="3065" spans="1:2">
      <c r="A3065" s="55"/>
      <c r="B3065"/>
    </row>
    <row r="3066" spans="1:2">
      <c r="A3066" s="55"/>
      <c r="B3066"/>
    </row>
    <row r="3067" spans="1:2">
      <c r="A3067" s="55"/>
      <c r="B3067"/>
    </row>
    <row r="3068" spans="1:2">
      <c r="A3068" s="55"/>
      <c r="B3068"/>
    </row>
    <row r="3069" spans="1:2">
      <c r="A3069" s="55"/>
      <c r="B3069"/>
    </row>
    <row r="3070" spans="1:2">
      <c r="A3070" s="55"/>
      <c r="B3070"/>
    </row>
    <row r="3071" spans="1:2">
      <c r="A3071" s="55"/>
      <c r="B3071"/>
    </row>
    <row r="3072" spans="1:2">
      <c r="A3072" s="55"/>
      <c r="B3072"/>
    </row>
    <row r="3073" spans="1:2">
      <c r="A3073" s="55"/>
      <c r="B3073"/>
    </row>
    <row r="3074" spans="1:2">
      <c r="A3074" s="55"/>
      <c r="B3074"/>
    </row>
    <row r="3075" spans="1:2">
      <c r="A3075" s="55"/>
      <c r="B3075"/>
    </row>
    <row r="3076" spans="1:2">
      <c r="A3076" s="55"/>
      <c r="B3076"/>
    </row>
    <row r="3077" spans="1:2">
      <c r="A3077" s="55"/>
      <c r="B3077"/>
    </row>
    <row r="3078" spans="1:2">
      <c r="A3078" s="55"/>
      <c r="B3078"/>
    </row>
    <row r="3079" spans="1:2">
      <c r="A3079" s="55"/>
      <c r="B3079"/>
    </row>
    <row r="3080" spans="1:2">
      <c r="A3080" s="55"/>
      <c r="B3080"/>
    </row>
    <row r="3081" spans="1:2">
      <c r="A3081" s="55"/>
      <c r="B3081"/>
    </row>
    <row r="3082" spans="1:2">
      <c r="A3082" s="55"/>
      <c r="B3082"/>
    </row>
    <row r="3083" spans="1:2">
      <c r="A3083" s="55"/>
      <c r="B3083"/>
    </row>
    <row r="3084" spans="1:2">
      <c r="A3084" s="55"/>
      <c r="B3084"/>
    </row>
    <row r="3085" spans="1:2">
      <c r="A3085" s="55"/>
      <c r="B3085"/>
    </row>
    <row r="3086" spans="1:2">
      <c r="A3086" s="55"/>
      <c r="B3086"/>
    </row>
    <row r="3087" spans="1:2">
      <c r="A3087" s="55"/>
      <c r="B3087"/>
    </row>
    <row r="3088" spans="1:2">
      <c r="A3088" s="55"/>
      <c r="B3088"/>
    </row>
    <row r="3089" spans="1:2">
      <c r="A3089" s="55"/>
      <c r="B3089"/>
    </row>
    <row r="3090" spans="1:2">
      <c r="A3090" s="55"/>
      <c r="B3090"/>
    </row>
    <row r="3091" spans="1:2">
      <c r="A3091" s="55"/>
      <c r="B3091"/>
    </row>
    <row r="3092" spans="1:2">
      <c r="A3092" s="55"/>
      <c r="B3092"/>
    </row>
    <row r="3093" spans="1:2">
      <c r="A3093" s="55"/>
      <c r="B3093"/>
    </row>
    <row r="3094" spans="1:2">
      <c r="A3094" s="55"/>
      <c r="B3094"/>
    </row>
    <row r="3095" spans="1:2">
      <c r="A3095" s="55"/>
      <c r="B3095"/>
    </row>
    <row r="3096" spans="1:2">
      <c r="A3096" s="55"/>
      <c r="B3096"/>
    </row>
    <row r="3097" spans="1:2">
      <c r="A3097" s="55"/>
      <c r="B3097"/>
    </row>
    <row r="3098" spans="1:2">
      <c r="A3098" s="55"/>
      <c r="B3098"/>
    </row>
    <row r="3099" spans="1:2">
      <c r="A3099" s="55"/>
      <c r="B3099"/>
    </row>
    <row r="3100" spans="1:2">
      <c r="A3100" s="55"/>
      <c r="B3100"/>
    </row>
    <row r="3101" spans="1:2">
      <c r="A3101" s="55"/>
      <c r="B3101"/>
    </row>
    <row r="3102" spans="1:2">
      <c r="A3102" s="55"/>
      <c r="B3102"/>
    </row>
    <row r="3103" spans="1:2">
      <c r="A3103" s="55"/>
      <c r="B3103"/>
    </row>
    <row r="3104" spans="1:2">
      <c r="A3104" s="55"/>
      <c r="B3104"/>
    </row>
    <row r="3105" spans="1:2">
      <c r="A3105" s="55"/>
      <c r="B3105"/>
    </row>
    <row r="3106" spans="1:2">
      <c r="A3106" s="55"/>
      <c r="B3106"/>
    </row>
    <row r="3107" spans="1:2">
      <c r="A3107" s="55"/>
      <c r="B3107"/>
    </row>
    <row r="3108" spans="1:2">
      <c r="A3108" s="55"/>
      <c r="B3108"/>
    </row>
    <row r="3109" spans="1:2">
      <c r="A3109" s="55"/>
      <c r="B3109"/>
    </row>
    <row r="3110" spans="1:2">
      <c r="A3110" s="55"/>
      <c r="B3110"/>
    </row>
    <row r="3111" spans="1:2">
      <c r="A3111" s="55"/>
      <c r="B3111"/>
    </row>
    <row r="3112" spans="1:2">
      <c r="A3112" s="55"/>
      <c r="B3112"/>
    </row>
    <row r="3113" spans="1:2">
      <c r="A3113" s="55"/>
      <c r="B3113"/>
    </row>
    <row r="3114" spans="1:2">
      <c r="A3114" s="55"/>
      <c r="B3114"/>
    </row>
    <row r="3115" spans="1:2">
      <c r="A3115" s="55"/>
      <c r="B3115"/>
    </row>
    <row r="3116" spans="1:2">
      <c r="A3116" s="55"/>
      <c r="B3116"/>
    </row>
    <row r="3117" spans="1:2">
      <c r="A3117" s="55"/>
      <c r="B3117"/>
    </row>
    <row r="3118" spans="1:2">
      <c r="A3118" s="55"/>
      <c r="B3118"/>
    </row>
    <row r="3119" spans="1:2">
      <c r="A3119" s="55"/>
      <c r="B3119"/>
    </row>
    <row r="3120" spans="1:2">
      <c r="A3120" s="55"/>
      <c r="B3120"/>
    </row>
    <row r="3121" spans="1:2">
      <c r="A3121" s="55"/>
      <c r="B3121"/>
    </row>
    <row r="3122" spans="1:2">
      <c r="A3122" s="55"/>
      <c r="B3122"/>
    </row>
    <row r="3123" spans="1:2">
      <c r="A3123" s="55"/>
      <c r="B3123"/>
    </row>
    <row r="3124" spans="1:2">
      <c r="A3124" s="55"/>
      <c r="B3124"/>
    </row>
    <row r="3125" spans="1:2">
      <c r="A3125" s="55"/>
      <c r="B3125"/>
    </row>
    <row r="3126" spans="1:2">
      <c r="A3126" s="55"/>
      <c r="B3126"/>
    </row>
    <row r="3127" spans="1:2">
      <c r="A3127" s="55"/>
      <c r="B3127"/>
    </row>
    <row r="3128" spans="1:2">
      <c r="A3128" s="55"/>
      <c r="B3128"/>
    </row>
    <row r="3129" spans="1:2">
      <c r="A3129" s="55"/>
      <c r="B3129"/>
    </row>
    <row r="3130" spans="1:2">
      <c r="A3130" s="55"/>
      <c r="B3130"/>
    </row>
    <row r="3131" spans="1:2">
      <c r="A3131" s="55"/>
      <c r="B3131"/>
    </row>
    <row r="3132" spans="1:2">
      <c r="A3132" s="55"/>
      <c r="B3132"/>
    </row>
    <row r="3133" spans="1:2">
      <c r="A3133" s="55"/>
      <c r="B3133"/>
    </row>
    <row r="3134" spans="1:2">
      <c r="A3134" s="55"/>
      <c r="B3134"/>
    </row>
    <row r="3135" spans="1:2">
      <c r="A3135" s="55"/>
      <c r="B3135"/>
    </row>
    <row r="3136" spans="1:2">
      <c r="A3136" s="55"/>
      <c r="B3136"/>
    </row>
    <row r="3137" spans="1:2">
      <c r="A3137" s="55"/>
      <c r="B3137"/>
    </row>
    <row r="3138" spans="1:2">
      <c r="A3138" s="55"/>
      <c r="B3138"/>
    </row>
    <row r="3139" spans="1:2">
      <c r="A3139" s="55"/>
      <c r="B3139"/>
    </row>
    <row r="3140" spans="1:2">
      <c r="A3140" s="55"/>
      <c r="B3140"/>
    </row>
    <row r="3141" spans="1:2">
      <c r="A3141" s="55"/>
      <c r="B3141"/>
    </row>
    <row r="3142" spans="1:2">
      <c r="A3142" s="55"/>
      <c r="B3142"/>
    </row>
    <row r="3143" spans="1:2">
      <c r="A3143" s="55"/>
      <c r="B3143"/>
    </row>
    <row r="3144" spans="1:2">
      <c r="A3144" s="55"/>
      <c r="B3144"/>
    </row>
    <row r="3145" spans="1:2">
      <c r="A3145" s="55"/>
      <c r="B3145"/>
    </row>
    <row r="3146" spans="1:2">
      <c r="A3146" s="55"/>
      <c r="B3146"/>
    </row>
    <row r="3147" spans="1:2">
      <c r="A3147" s="55"/>
      <c r="B3147"/>
    </row>
    <row r="3148" spans="1:2">
      <c r="A3148" s="55"/>
      <c r="B3148"/>
    </row>
    <row r="3149" spans="1:2">
      <c r="A3149" s="55"/>
      <c r="B3149"/>
    </row>
    <row r="3150" spans="1:2">
      <c r="A3150" s="55"/>
      <c r="B3150"/>
    </row>
    <row r="3151" spans="1:2">
      <c r="A3151" s="55"/>
      <c r="B3151"/>
    </row>
    <row r="3152" spans="1:2">
      <c r="A3152" s="55"/>
      <c r="B3152"/>
    </row>
    <row r="3153" spans="1:2">
      <c r="A3153" s="55"/>
      <c r="B3153"/>
    </row>
    <row r="3154" spans="1:2">
      <c r="A3154" s="55"/>
      <c r="B3154"/>
    </row>
    <row r="3155" spans="1:2">
      <c r="A3155" s="55"/>
      <c r="B3155"/>
    </row>
    <row r="3156" spans="1:2">
      <c r="A3156" s="55"/>
      <c r="B3156"/>
    </row>
    <row r="3157" spans="1:2">
      <c r="A3157" s="55"/>
      <c r="B3157"/>
    </row>
    <row r="3158" spans="1:2">
      <c r="A3158" s="55"/>
      <c r="B3158"/>
    </row>
    <row r="3159" spans="1:2">
      <c r="A3159" s="55"/>
      <c r="B3159"/>
    </row>
    <row r="3160" spans="1:2">
      <c r="A3160" s="55"/>
      <c r="B3160"/>
    </row>
    <row r="3161" spans="1:2">
      <c r="A3161" s="55"/>
      <c r="B3161"/>
    </row>
    <row r="3162" spans="1:2">
      <c r="A3162" s="55"/>
      <c r="B3162"/>
    </row>
    <row r="3163" spans="1:2">
      <c r="A3163" s="55"/>
      <c r="B3163"/>
    </row>
    <row r="3164" spans="1:2">
      <c r="A3164" s="55"/>
      <c r="B3164"/>
    </row>
    <row r="3165" spans="1:2">
      <c r="A3165" s="55"/>
      <c r="B3165"/>
    </row>
    <row r="3166" spans="1:2">
      <c r="A3166" s="55"/>
      <c r="B3166"/>
    </row>
    <row r="3167" spans="1:2">
      <c r="A3167" s="55"/>
      <c r="B3167"/>
    </row>
    <row r="3168" spans="1:2">
      <c r="A3168" s="55"/>
      <c r="B3168"/>
    </row>
    <row r="3169" spans="1:2">
      <c r="A3169" s="55"/>
      <c r="B3169"/>
    </row>
    <row r="3170" spans="1:2">
      <c r="A3170" s="55"/>
      <c r="B3170"/>
    </row>
    <row r="3171" spans="1:2">
      <c r="A3171" s="55"/>
      <c r="B3171"/>
    </row>
    <row r="3172" spans="1:2">
      <c r="A3172" s="55"/>
      <c r="B3172"/>
    </row>
    <row r="3173" spans="1:2">
      <c r="A3173" s="55"/>
      <c r="B3173"/>
    </row>
    <row r="3174" spans="1:2">
      <c r="A3174" s="55"/>
      <c r="B3174"/>
    </row>
    <row r="3175" spans="1:2">
      <c r="A3175" s="55"/>
      <c r="B3175"/>
    </row>
    <row r="3176" spans="1:2">
      <c r="A3176" s="55"/>
      <c r="B3176"/>
    </row>
    <row r="3177" spans="1:2">
      <c r="A3177" s="55"/>
      <c r="B3177"/>
    </row>
    <row r="3178" spans="1:2">
      <c r="A3178" s="55"/>
      <c r="B3178"/>
    </row>
    <row r="3179" spans="1:2">
      <c r="A3179" s="55"/>
      <c r="B3179"/>
    </row>
    <row r="3180" spans="1:2">
      <c r="A3180" s="55"/>
      <c r="B3180"/>
    </row>
    <row r="3181" spans="1:2">
      <c r="A3181" s="55"/>
      <c r="B3181"/>
    </row>
    <row r="3182" spans="1:2">
      <c r="A3182" s="55"/>
      <c r="B3182"/>
    </row>
    <row r="3183" spans="1:2">
      <c r="A3183" s="55"/>
      <c r="B3183"/>
    </row>
    <row r="3184" spans="1:2">
      <c r="A3184" s="55"/>
      <c r="B3184"/>
    </row>
    <row r="3185" spans="1:2">
      <c r="A3185" s="55"/>
      <c r="B3185"/>
    </row>
    <row r="3186" spans="1:2">
      <c r="A3186" s="55"/>
      <c r="B3186"/>
    </row>
    <row r="3187" spans="1:2">
      <c r="A3187" s="55"/>
      <c r="B3187"/>
    </row>
    <row r="3188" spans="1:2">
      <c r="A3188" s="55"/>
      <c r="B3188"/>
    </row>
    <row r="3189" spans="1:2">
      <c r="A3189" s="55"/>
      <c r="B3189"/>
    </row>
    <row r="3190" spans="1:2">
      <c r="A3190" s="55"/>
      <c r="B3190"/>
    </row>
    <row r="3191" spans="1:2">
      <c r="A3191" s="55"/>
      <c r="B3191"/>
    </row>
    <row r="3192" spans="1:2">
      <c r="A3192" s="55"/>
      <c r="B3192"/>
    </row>
    <row r="3193" spans="1:2">
      <c r="A3193" s="55"/>
      <c r="B3193"/>
    </row>
    <row r="3194" spans="1:2">
      <c r="A3194" s="55"/>
      <c r="B3194"/>
    </row>
    <row r="3195" spans="1:2">
      <c r="A3195" s="55"/>
      <c r="B3195"/>
    </row>
    <row r="3196" spans="1:2">
      <c r="A3196" s="55"/>
      <c r="B3196"/>
    </row>
    <row r="3197" spans="1:2">
      <c r="A3197" s="55"/>
      <c r="B3197"/>
    </row>
    <row r="3198" spans="1:2">
      <c r="A3198" s="55"/>
      <c r="B3198"/>
    </row>
    <row r="3199" spans="1:2">
      <c r="A3199" s="55"/>
      <c r="B3199"/>
    </row>
    <row r="3200" spans="1:2">
      <c r="A3200" s="55"/>
      <c r="B3200"/>
    </row>
    <row r="3201" spans="1:2">
      <c r="A3201" s="55"/>
      <c r="B3201"/>
    </row>
    <row r="3202" spans="1:2">
      <c r="A3202" s="55"/>
      <c r="B3202"/>
    </row>
    <row r="3203" spans="1:2">
      <c r="A3203" s="55"/>
      <c r="B3203"/>
    </row>
    <row r="3204" spans="1:2">
      <c r="A3204" s="55"/>
      <c r="B3204"/>
    </row>
    <row r="3205" spans="1:2">
      <c r="A3205" s="55"/>
      <c r="B3205"/>
    </row>
    <row r="3206" spans="1:2">
      <c r="A3206" s="55"/>
      <c r="B3206"/>
    </row>
    <row r="3207" spans="1:2">
      <c r="A3207" s="55"/>
      <c r="B3207"/>
    </row>
    <row r="3208" spans="1:2">
      <c r="A3208" s="55"/>
      <c r="B3208"/>
    </row>
    <row r="3209" spans="1:2">
      <c r="A3209" s="55"/>
      <c r="B3209"/>
    </row>
    <row r="3210" spans="1:2">
      <c r="A3210" s="55"/>
      <c r="B3210"/>
    </row>
    <row r="3211" spans="1:2">
      <c r="A3211" s="55"/>
      <c r="B3211"/>
    </row>
    <row r="3212" spans="1:2">
      <c r="A3212" s="55"/>
      <c r="B3212"/>
    </row>
    <row r="3213" spans="1:2">
      <c r="A3213" s="55"/>
      <c r="B3213"/>
    </row>
    <row r="3214" spans="1:2">
      <c r="A3214" s="55"/>
      <c r="B3214"/>
    </row>
    <row r="3215" spans="1:2">
      <c r="A3215" s="55"/>
      <c r="B3215"/>
    </row>
    <row r="3216" spans="1:2">
      <c r="A3216" s="55"/>
      <c r="B3216"/>
    </row>
    <row r="3217" spans="1:2">
      <c r="A3217" s="55"/>
      <c r="B3217"/>
    </row>
    <row r="3218" spans="1:2">
      <c r="A3218" s="55"/>
      <c r="B3218"/>
    </row>
    <row r="3219" spans="1:2">
      <c r="A3219" s="55"/>
      <c r="B3219"/>
    </row>
    <row r="3220" spans="1:2">
      <c r="A3220" s="55"/>
      <c r="B3220"/>
    </row>
    <row r="3221" spans="1:2">
      <c r="A3221" s="55"/>
      <c r="B3221"/>
    </row>
    <row r="3222" spans="1:2">
      <c r="A3222" s="55"/>
      <c r="B3222"/>
    </row>
    <row r="3223" spans="1:2">
      <c r="A3223" s="55"/>
      <c r="B3223"/>
    </row>
    <row r="3224" spans="1:2">
      <c r="A3224" s="55"/>
      <c r="B3224"/>
    </row>
    <row r="3225" spans="1:2">
      <c r="A3225" s="55"/>
      <c r="B3225"/>
    </row>
    <row r="3226" spans="1:2">
      <c r="A3226" s="55"/>
      <c r="B3226"/>
    </row>
    <row r="3227" spans="1:2">
      <c r="A3227" s="55"/>
      <c r="B3227"/>
    </row>
    <row r="3228" spans="1:2">
      <c r="A3228" s="55"/>
      <c r="B3228"/>
    </row>
    <row r="3229" spans="1:2">
      <c r="A3229" s="55"/>
      <c r="B3229"/>
    </row>
    <row r="3230" spans="1:2">
      <c r="A3230" s="55"/>
      <c r="B3230"/>
    </row>
    <row r="3231" spans="1:2">
      <c r="A3231" s="55"/>
      <c r="B3231"/>
    </row>
    <row r="3232" spans="1:2">
      <c r="A3232" s="55"/>
      <c r="B3232"/>
    </row>
    <row r="3233" spans="1:2">
      <c r="A3233" s="55"/>
      <c r="B3233"/>
    </row>
    <row r="3234" spans="1:2">
      <c r="A3234" s="55"/>
      <c r="B3234"/>
    </row>
    <row r="3235" spans="1:2">
      <c r="A3235" s="55"/>
      <c r="B3235"/>
    </row>
    <row r="3236" spans="1:2">
      <c r="A3236" s="55"/>
      <c r="B3236"/>
    </row>
    <row r="3237" spans="1:2">
      <c r="A3237" s="55"/>
      <c r="B3237"/>
    </row>
    <row r="3238" spans="1:2">
      <c r="A3238" s="55"/>
      <c r="B3238"/>
    </row>
    <row r="3239" spans="1:2">
      <c r="A3239" s="55"/>
      <c r="B3239"/>
    </row>
    <row r="3240" spans="1:2">
      <c r="A3240" s="55"/>
      <c r="B3240"/>
    </row>
    <row r="3241" spans="1:2">
      <c r="A3241" s="55"/>
      <c r="B3241"/>
    </row>
    <row r="3242" spans="1:2">
      <c r="A3242" s="55"/>
      <c r="B3242"/>
    </row>
    <row r="3243" spans="1:2">
      <c r="A3243" s="55"/>
      <c r="B3243"/>
    </row>
    <row r="3244" spans="1:2">
      <c r="A3244" s="55"/>
      <c r="B3244"/>
    </row>
    <row r="3245" spans="1:2">
      <c r="A3245" s="55"/>
      <c r="B3245"/>
    </row>
    <row r="3246" spans="1:2">
      <c r="A3246" s="55"/>
      <c r="B3246"/>
    </row>
    <row r="3247" spans="1:2">
      <c r="A3247" s="55"/>
      <c r="B3247"/>
    </row>
    <row r="3248" spans="1:2">
      <c r="A3248" s="55"/>
      <c r="B3248"/>
    </row>
    <row r="3249" spans="1:2">
      <c r="A3249" s="55"/>
      <c r="B3249"/>
    </row>
    <row r="3250" spans="1:2">
      <c r="A3250" s="55"/>
      <c r="B3250"/>
    </row>
    <row r="3251" spans="1:2">
      <c r="A3251" s="55"/>
      <c r="B3251"/>
    </row>
    <row r="3252" spans="1:2">
      <c r="A3252" s="55"/>
      <c r="B3252"/>
    </row>
    <row r="3253" spans="1:2">
      <c r="A3253" s="55"/>
      <c r="B3253"/>
    </row>
    <row r="3254" spans="1:2">
      <c r="A3254" s="55"/>
      <c r="B3254"/>
    </row>
    <row r="3255" spans="1:2">
      <c r="A3255" s="55"/>
      <c r="B3255"/>
    </row>
    <row r="3256" spans="1:2">
      <c r="A3256" s="55"/>
      <c r="B3256"/>
    </row>
    <row r="3257" spans="1:2">
      <c r="A3257" s="55"/>
      <c r="B3257"/>
    </row>
    <row r="3258" spans="1:2">
      <c r="A3258" s="55"/>
      <c r="B3258"/>
    </row>
    <row r="3259" spans="1:2">
      <c r="A3259" s="55"/>
      <c r="B3259"/>
    </row>
    <row r="3260" spans="1:2">
      <c r="A3260" s="55"/>
      <c r="B3260"/>
    </row>
    <row r="3261" spans="1:2">
      <c r="A3261" s="55"/>
      <c r="B3261"/>
    </row>
    <row r="3262" spans="1:2">
      <c r="A3262" s="55"/>
      <c r="B3262"/>
    </row>
    <row r="3263" spans="1:2">
      <c r="A3263" s="55"/>
      <c r="B3263"/>
    </row>
    <row r="3264" spans="1:2">
      <c r="A3264" s="55"/>
      <c r="B3264"/>
    </row>
    <row r="3265" spans="1:2">
      <c r="A3265" s="55"/>
      <c r="B3265"/>
    </row>
    <row r="3266" spans="1:2">
      <c r="A3266" s="55"/>
      <c r="B3266"/>
    </row>
    <row r="3267" spans="1:2">
      <c r="A3267" s="55"/>
      <c r="B3267"/>
    </row>
    <row r="3268" spans="1:2">
      <c r="A3268" s="55"/>
      <c r="B3268"/>
    </row>
    <row r="3269" spans="1:2">
      <c r="A3269" s="55"/>
      <c r="B3269"/>
    </row>
    <row r="3270" spans="1:2">
      <c r="A3270" s="55"/>
      <c r="B3270"/>
    </row>
    <row r="3271" spans="1:2">
      <c r="A3271" s="55"/>
      <c r="B3271"/>
    </row>
    <row r="3272" spans="1:2">
      <c r="A3272" s="55"/>
      <c r="B3272"/>
    </row>
    <row r="3273" spans="1:2">
      <c r="A3273" s="55"/>
      <c r="B3273"/>
    </row>
    <row r="3274" spans="1:2">
      <c r="A3274" s="55"/>
      <c r="B3274"/>
    </row>
    <row r="3275" spans="1:2">
      <c r="A3275" s="55"/>
      <c r="B3275"/>
    </row>
    <row r="3276" spans="1:2">
      <c r="A3276" s="55"/>
      <c r="B3276"/>
    </row>
    <row r="3277" spans="1:2">
      <c r="A3277" s="55"/>
      <c r="B3277"/>
    </row>
    <row r="3278" spans="1:2">
      <c r="A3278" s="55"/>
      <c r="B3278"/>
    </row>
    <row r="3279" spans="1:2">
      <c r="A3279" s="55"/>
      <c r="B3279"/>
    </row>
    <row r="3280" spans="1:2">
      <c r="A3280" s="55"/>
      <c r="B3280"/>
    </row>
    <row r="3281" spans="1:2">
      <c r="A3281" s="55"/>
      <c r="B3281"/>
    </row>
    <row r="3282" spans="1:2">
      <c r="A3282" s="55"/>
      <c r="B3282"/>
    </row>
    <row r="3283" spans="1:2">
      <c r="A3283" s="55"/>
      <c r="B3283"/>
    </row>
    <row r="3284" spans="1:2">
      <c r="A3284" s="55"/>
      <c r="B3284"/>
    </row>
    <row r="3285" spans="1:2">
      <c r="A3285" s="55"/>
      <c r="B3285"/>
    </row>
    <row r="3286" spans="1:2">
      <c r="A3286" s="55"/>
      <c r="B3286"/>
    </row>
    <row r="3287" spans="1:2">
      <c r="A3287" s="55"/>
      <c r="B3287"/>
    </row>
    <row r="3288" spans="1:2">
      <c r="A3288" s="55"/>
      <c r="B3288"/>
    </row>
    <row r="3289" spans="1:2">
      <c r="A3289" s="55"/>
      <c r="B3289"/>
    </row>
    <row r="3290" spans="1:2">
      <c r="A3290" s="55"/>
      <c r="B3290"/>
    </row>
    <row r="3291" spans="1:2">
      <c r="A3291" s="55"/>
      <c r="B3291"/>
    </row>
    <row r="3292" spans="1:2">
      <c r="A3292" s="55"/>
      <c r="B3292"/>
    </row>
    <row r="3293" spans="1:2">
      <c r="A3293" s="55"/>
      <c r="B3293"/>
    </row>
    <row r="3294" spans="1:2">
      <c r="A3294" s="55"/>
      <c r="B3294"/>
    </row>
    <row r="3295" spans="1:2">
      <c r="A3295" s="55"/>
      <c r="B3295"/>
    </row>
    <row r="3296" spans="1:2">
      <c r="A3296" s="55"/>
      <c r="B3296"/>
    </row>
    <row r="3297" spans="1:2">
      <c r="A3297" s="55"/>
      <c r="B3297"/>
    </row>
    <row r="3298" spans="1:2">
      <c r="A3298" s="55"/>
      <c r="B3298"/>
    </row>
    <row r="3299" spans="1:2">
      <c r="A3299" s="55"/>
      <c r="B3299"/>
    </row>
    <row r="3300" spans="1:2">
      <c r="A3300" s="55"/>
      <c r="B3300"/>
    </row>
    <row r="3301" spans="1:2">
      <c r="A3301" s="55"/>
      <c r="B3301"/>
    </row>
    <row r="3302" spans="1:2">
      <c r="A3302" s="55"/>
      <c r="B3302"/>
    </row>
    <row r="3303" spans="1:2">
      <c r="A3303" s="55"/>
      <c r="B3303"/>
    </row>
    <row r="3304" spans="1:2">
      <c r="A3304" s="55"/>
      <c r="B3304"/>
    </row>
    <row r="3305" spans="1:2">
      <c r="A3305" s="55"/>
      <c r="B3305"/>
    </row>
    <row r="3306" spans="1:2">
      <c r="A3306" s="55"/>
      <c r="B3306"/>
    </row>
    <row r="3307" spans="1:2">
      <c r="A3307" s="55"/>
      <c r="B3307"/>
    </row>
    <row r="3308" spans="1:2">
      <c r="A3308" s="55"/>
      <c r="B3308"/>
    </row>
    <row r="3309" spans="1:2">
      <c r="A3309" s="55"/>
      <c r="B3309"/>
    </row>
    <row r="3310" spans="1:2">
      <c r="A3310" s="55"/>
      <c r="B3310"/>
    </row>
    <row r="3311" spans="1:2">
      <c r="A3311" s="55"/>
      <c r="B3311"/>
    </row>
    <row r="3312" spans="1:2">
      <c r="A3312" s="55"/>
      <c r="B3312"/>
    </row>
    <row r="3313" spans="1:2">
      <c r="A3313" s="55"/>
      <c r="B3313"/>
    </row>
    <row r="3314" spans="1:2">
      <c r="A3314" s="55"/>
      <c r="B3314"/>
    </row>
    <row r="3315" spans="1:2">
      <c r="A3315" s="55"/>
      <c r="B3315"/>
    </row>
    <row r="3316" spans="1:2">
      <c r="A3316" s="55"/>
      <c r="B3316"/>
    </row>
    <row r="3317" spans="1:2">
      <c r="A3317" s="55"/>
      <c r="B3317"/>
    </row>
    <row r="3318" spans="1:2">
      <c r="A3318" s="55"/>
      <c r="B3318"/>
    </row>
    <row r="3319" spans="1:2">
      <c r="A3319" s="55"/>
      <c r="B3319"/>
    </row>
    <row r="3320" spans="1:2">
      <c r="A3320" s="55"/>
      <c r="B3320"/>
    </row>
    <row r="3321" spans="1:2">
      <c r="A3321" s="55"/>
      <c r="B3321"/>
    </row>
    <row r="3322" spans="1:2">
      <c r="A3322" s="55"/>
      <c r="B3322"/>
    </row>
    <row r="3323" spans="1:2">
      <c r="A3323" s="55"/>
      <c r="B3323"/>
    </row>
    <row r="3324" spans="1:2">
      <c r="A3324" s="55"/>
      <c r="B3324"/>
    </row>
    <row r="3325" spans="1:2">
      <c r="A3325" s="55"/>
      <c r="B3325"/>
    </row>
    <row r="3326" spans="1:2">
      <c r="A3326" s="55"/>
      <c r="B3326"/>
    </row>
    <row r="3327" spans="1:2">
      <c r="A3327" s="55"/>
      <c r="B3327"/>
    </row>
    <row r="3328" spans="1:2">
      <c r="A3328" s="55"/>
      <c r="B3328"/>
    </row>
    <row r="3329" spans="1:2">
      <c r="A3329" s="55"/>
      <c r="B3329"/>
    </row>
    <row r="3330" spans="1:2">
      <c r="A3330" s="55"/>
      <c r="B3330"/>
    </row>
    <row r="3331" spans="1:2">
      <c r="A3331" s="55"/>
      <c r="B3331"/>
    </row>
    <row r="3332" spans="1:2">
      <c r="A3332" s="55"/>
      <c r="B3332"/>
    </row>
    <row r="3333" spans="1:2">
      <c r="A3333" s="55"/>
      <c r="B3333"/>
    </row>
    <row r="3334" spans="1:2">
      <c r="A3334" s="55"/>
      <c r="B3334"/>
    </row>
    <row r="3335" spans="1:2">
      <c r="A3335" s="55"/>
      <c r="B3335"/>
    </row>
    <row r="3336" spans="1:2">
      <c r="A3336" s="55"/>
      <c r="B3336"/>
    </row>
    <row r="3337" spans="1:2">
      <c r="A3337" s="55"/>
      <c r="B3337"/>
    </row>
    <row r="3338" spans="1:2">
      <c r="A3338" s="55"/>
      <c r="B3338"/>
    </row>
    <row r="3339" spans="1:2">
      <c r="A3339" s="55"/>
      <c r="B3339"/>
    </row>
    <row r="3340" spans="1:2">
      <c r="A3340" s="55"/>
      <c r="B3340"/>
    </row>
    <row r="3341" spans="1:2">
      <c r="A3341" s="55"/>
      <c r="B3341"/>
    </row>
    <row r="3342" spans="1:2">
      <c r="A3342" s="55"/>
      <c r="B3342"/>
    </row>
    <row r="3343" spans="1:2">
      <c r="A3343" s="55"/>
      <c r="B3343"/>
    </row>
    <row r="3344" spans="1:2">
      <c r="A3344" s="55"/>
      <c r="B3344"/>
    </row>
    <row r="3345" spans="1:2">
      <c r="A3345" s="55"/>
      <c r="B3345"/>
    </row>
    <row r="3346" spans="1:2">
      <c r="A3346" s="55"/>
      <c r="B3346"/>
    </row>
    <row r="3347" spans="1:2">
      <c r="A3347" s="55"/>
      <c r="B3347"/>
    </row>
    <row r="3348" spans="1:2">
      <c r="A3348" s="55"/>
      <c r="B3348"/>
    </row>
    <row r="3349" spans="1:2">
      <c r="A3349" s="55"/>
      <c r="B3349"/>
    </row>
    <row r="3350" spans="1:2">
      <c r="A3350" s="55"/>
      <c r="B3350"/>
    </row>
    <row r="3351" spans="1:2">
      <c r="A3351" s="55"/>
      <c r="B3351"/>
    </row>
    <row r="3352" spans="1:2">
      <c r="A3352" s="55"/>
      <c r="B3352"/>
    </row>
    <row r="3353" spans="1:2">
      <c r="A3353" s="55"/>
      <c r="B3353"/>
    </row>
    <row r="3354" spans="1:2">
      <c r="A3354" s="55"/>
      <c r="B3354"/>
    </row>
    <row r="3355" spans="1:2">
      <c r="A3355" s="55"/>
      <c r="B3355"/>
    </row>
    <row r="3356" spans="1:2">
      <c r="A3356" s="55"/>
      <c r="B3356"/>
    </row>
    <row r="3357" spans="1:2">
      <c r="A3357" s="55"/>
      <c r="B3357"/>
    </row>
    <row r="3358" spans="1:2">
      <c r="A3358" s="55"/>
      <c r="B3358"/>
    </row>
    <row r="3359" spans="1:2">
      <c r="A3359" s="55"/>
      <c r="B3359"/>
    </row>
    <row r="3360" spans="1:2">
      <c r="A3360" s="55"/>
      <c r="B3360"/>
    </row>
    <row r="3361" spans="1:2">
      <c r="A3361" s="55"/>
      <c r="B3361"/>
    </row>
    <row r="3362" spans="1:2">
      <c r="A3362" s="55"/>
      <c r="B3362"/>
    </row>
    <row r="3363" spans="1:2">
      <c r="A3363" s="55"/>
      <c r="B3363"/>
    </row>
    <row r="3364" spans="1:2">
      <c r="A3364" s="55"/>
      <c r="B3364"/>
    </row>
    <row r="3365" spans="1:2">
      <c r="A3365" s="55"/>
      <c r="B3365"/>
    </row>
    <row r="3366" spans="1:2">
      <c r="A3366" s="55"/>
      <c r="B3366"/>
    </row>
    <row r="3367" spans="1:2">
      <c r="A3367" s="55"/>
      <c r="B3367"/>
    </row>
    <row r="3368" spans="1:2">
      <c r="A3368" s="55"/>
      <c r="B3368"/>
    </row>
    <row r="3369" spans="1:2">
      <c r="A3369" s="55"/>
      <c r="B3369"/>
    </row>
    <row r="3370" spans="1:2">
      <c r="A3370" s="55"/>
      <c r="B3370"/>
    </row>
    <row r="3371" spans="1:2">
      <c r="A3371" s="55"/>
      <c r="B3371"/>
    </row>
    <row r="3372" spans="1:2">
      <c r="A3372" s="55"/>
      <c r="B3372"/>
    </row>
    <row r="3373" spans="1:2">
      <c r="A3373" s="55"/>
      <c r="B3373"/>
    </row>
    <row r="3374" spans="1:2">
      <c r="A3374" s="55"/>
      <c r="B3374"/>
    </row>
    <row r="3375" spans="1:2">
      <c r="A3375" s="55"/>
      <c r="B3375"/>
    </row>
    <row r="3376" spans="1:2">
      <c r="A3376" s="55"/>
      <c r="B3376"/>
    </row>
    <row r="3377" spans="1:2">
      <c r="A3377" s="55"/>
      <c r="B3377"/>
    </row>
    <row r="3378" spans="1:2">
      <c r="A3378" s="55"/>
      <c r="B3378"/>
    </row>
    <row r="3379" spans="1:2">
      <c r="A3379" s="55"/>
      <c r="B3379"/>
    </row>
    <row r="3380" spans="1:2">
      <c r="A3380" s="55"/>
      <c r="B3380"/>
    </row>
    <row r="3381" spans="1:2">
      <c r="A3381" s="55"/>
      <c r="B3381"/>
    </row>
    <row r="3382" spans="1:2">
      <c r="A3382" s="55"/>
      <c r="B3382"/>
    </row>
    <row r="3383" spans="1:2">
      <c r="A3383" s="55"/>
      <c r="B3383"/>
    </row>
    <row r="3384" spans="1:2">
      <c r="A3384" s="55"/>
      <c r="B3384"/>
    </row>
    <row r="3385" spans="1:2">
      <c r="A3385" s="55"/>
      <c r="B3385"/>
    </row>
    <row r="3386" spans="1:2">
      <c r="A3386" s="55"/>
      <c r="B3386"/>
    </row>
    <row r="3387" spans="1:2">
      <c r="A3387" s="55"/>
      <c r="B3387"/>
    </row>
    <row r="3388" spans="1:2">
      <c r="A3388" s="55"/>
      <c r="B3388"/>
    </row>
    <row r="3389" spans="1:2">
      <c r="A3389" s="55"/>
      <c r="B3389"/>
    </row>
    <row r="3390" spans="1:2">
      <c r="A3390" s="55"/>
      <c r="B3390"/>
    </row>
    <row r="3391" spans="1:2">
      <c r="A3391" s="55"/>
      <c r="B3391"/>
    </row>
    <row r="3392" spans="1:2">
      <c r="A3392" s="55"/>
      <c r="B3392"/>
    </row>
    <row r="3393" spans="1:2">
      <c r="A3393" s="55"/>
      <c r="B3393"/>
    </row>
    <row r="3394" spans="1:2">
      <c r="A3394" s="55"/>
      <c r="B3394"/>
    </row>
    <row r="3395" spans="1:2">
      <c r="A3395" s="55"/>
      <c r="B3395"/>
    </row>
    <row r="3396" spans="1:2">
      <c r="A3396" s="55"/>
      <c r="B3396"/>
    </row>
    <row r="3397" spans="1:2">
      <c r="A3397" s="55"/>
      <c r="B3397"/>
    </row>
    <row r="3398" spans="1:2">
      <c r="A3398" s="55"/>
      <c r="B3398"/>
    </row>
    <row r="3399" spans="1:2">
      <c r="A3399" s="55"/>
      <c r="B3399"/>
    </row>
    <row r="3400" spans="1:2">
      <c r="A3400" s="55"/>
      <c r="B3400"/>
    </row>
    <row r="3401" spans="1:2">
      <c r="A3401" s="55"/>
      <c r="B3401"/>
    </row>
    <row r="3402" spans="1:2">
      <c r="A3402" s="55"/>
      <c r="B3402"/>
    </row>
    <row r="3403" spans="1:2">
      <c r="A3403" s="55"/>
      <c r="B3403"/>
    </row>
    <row r="3404" spans="1:2">
      <c r="A3404" s="55"/>
      <c r="B3404"/>
    </row>
    <row r="3405" spans="1:2">
      <c r="A3405" s="55"/>
      <c r="B3405"/>
    </row>
    <row r="3406" spans="1:2">
      <c r="A3406" s="55"/>
      <c r="B3406"/>
    </row>
    <row r="3407" spans="1:2">
      <c r="A3407" s="55"/>
      <c r="B3407"/>
    </row>
    <row r="3408" spans="1:2">
      <c r="A3408" s="55"/>
      <c r="B3408"/>
    </row>
    <row r="3409" spans="1:2">
      <c r="A3409" s="55"/>
      <c r="B3409"/>
    </row>
    <row r="3410" spans="1:2">
      <c r="A3410" s="55"/>
      <c r="B3410"/>
    </row>
    <row r="3411" spans="1:2">
      <c r="A3411" s="55"/>
      <c r="B3411"/>
    </row>
    <row r="3412" spans="1:2">
      <c r="A3412" s="55"/>
      <c r="B3412"/>
    </row>
    <row r="3413" spans="1:2">
      <c r="A3413" s="55"/>
      <c r="B3413"/>
    </row>
    <row r="3414" spans="1:2">
      <c r="A3414" s="55"/>
      <c r="B3414"/>
    </row>
    <row r="3415" spans="1:2">
      <c r="A3415" s="55"/>
      <c r="B3415"/>
    </row>
    <row r="3416" spans="1:2">
      <c r="A3416" s="55"/>
      <c r="B3416"/>
    </row>
    <row r="3417" spans="1:2">
      <c r="A3417" s="55"/>
      <c r="B3417"/>
    </row>
    <row r="3418" spans="1:2">
      <c r="A3418" s="55"/>
      <c r="B3418"/>
    </row>
    <row r="3419" spans="1:2">
      <c r="A3419" s="55"/>
      <c r="B3419"/>
    </row>
    <row r="3420" spans="1:2">
      <c r="A3420" s="55"/>
      <c r="B3420"/>
    </row>
    <row r="3421" spans="1:2">
      <c r="A3421" s="55"/>
      <c r="B3421"/>
    </row>
    <row r="3422" spans="1:2">
      <c r="A3422" s="55"/>
      <c r="B3422"/>
    </row>
    <row r="3423" spans="1:2">
      <c r="A3423" s="55"/>
      <c r="B3423"/>
    </row>
    <row r="3424" spans="1:2">
      <c r="A3424" s="55"/>
      <c r="B3424"/>
    </row>
    <row r="3425" spans="1:2">
      <c r="A3425" s="55"/>
      <c r="B3425"/>
    </row>
    <row r="3426" spans="1:2">
      <c r="A3426" s="55"/>
      <c r="B3426"/>
    </row>
    <row r="3427" spans="1:2">
      <c r="A3427" s="55"/>
      <c r="B3427"/>
    </row>
    <row r="3428" spans="1:2">
      <c r="A3428" s="55"/>
      <c r="B3428"/>
    </row>
    <row r="3429" spans="1:2">
      <c r="A3429" s="55"/>
      <c r="B3429"/>
    </row>
    <row r="3430" spans="1:2">
      <c r="A3430" s="55"/>
      <c r="B3430"/>
    </row>
    <row r="3431" spans="1:2">
      <c r="A3431" s="55"/>
      <c r="B3431"/>
    </row>
    <row r="3432" spans="1:2">
      <c r="A3432" s="55"/>
      <c r="B3432"/>
    </row>
    <row r="3433" spans="1:2">
      <c r="A3433" s="55"/>
      <c r="B3433"/>
    </row>
    <row r="3434" spans="1:2">
      <c r="A3434" s="55"/>
      <c r="B3434"/>
    </row>
    <row r="3435" spans="1:2">
      <c r="A3435" s="55"/>
      <c r="B3435"/>
    </row>
    <row r="3436" spans="1:2">
      <c r="A3436" s="55"/>
      <c r="B3436"/>
    </row>
    <row r="3437" spans="1:2">
      <c r="A3437" s="55"/>
      <c r="B3437"/>
    </row>
    <row r="3438" spans="1:2">
      <c r="A3438" s="55"/>
      <c r="B3438"/>
    </row>
    <row r="3439" spans="1:2">
      <c r="A3439" s="55"/>
      <c r="B3439"/>
    </row>
    <row r="3440" spans="1:2">
      <c r="A3440" s="55"/>
      <c r="B3440"/>
    </row>
    <row r="3441" spans="1:2">
      <c r="A3441" s="55"/>
      <c r="B3441"/>
    </row>
    <row r="3442" spans="1:2">
      <c r="A3442" s="55"/>
      <c r="B3442"/>
    </row>
    <row r="3443" spans="1:2">
      <c r="A3443" s="55"/>
      <c r="B3443"/>
    </row>
    <row r="3444" spans="1:2">
      <c r="A3444" s="55"/>
      <c r="B3444"/>
    </row>
    <row r="3445" spans="1:2">
      <c r="A3445" s="55"/>
      <c r="B3445"/>
    </row>
    <row r="3446" spans="1:2">
      <c r="A3446" s="55"/>
      <c r="B3446"/>
    </row>
    <row r="3447" spans="1:2">
      <c r="A3447" s="55"/>
      <c r="B3447"/>
    </row>
    <row r="3448" spans="1:2">
      <c r="A3448" s="55"/>
      <c r="B3448"/>
    </row>
    <row r="3449" spans="1:2">
      <c r="A3449" s="55"/>
      <c r="B3449"/>
    </row>
    <row r="3450" spans="1:2">
      <c r="A3450" s="55"/>
      <c r="B3450"/>
    </row>
    <row r="3451" spans="1:2">
      <c r="A3451" s="55"/>
      <c r="B3451"/>
    </row>
    <row r="3452" spans="1:2">
      <c r="A3452" s="55"/>
      <c r="B3452"/>
    </row>
    <row r="3453" spans="1:2">
      <c r="A3453" s="55"/>
      <c r="B3453"/>
    </row>
    <row r="3454" spans="1:2">
      <c r="A3454" s="55"/>
      <c r="B3454"/>
    </row>
    <row r="3455" spans="1:2">
      <c r="A3455" s="55"/>
      <c r="B3455"/>
    </row>
    <row r="3456" spans="1:2">
      <c r="A3456" s="55"/>
      <c r="B3456"/>
    </row>
    <row r="3457" spans="1:2">
      <c r="A3457" s="55"/>
      <c r="B3457"/>
    </row>
    <row r="3458" spans="1:2">
      <c r="A3458" s="55"/>
      <c r="B3458"/>
    </row>
    <row r="3459" spans="1:2">
      <c r="A3459" s="55"/>
      <c r="B3459"/>
    </row>
    <row r="3460" spans="1:2">
      <c r="A3460" s="55"/>
      <c r="B3460"/>
    </row>
    <row r="3461" spans="1:2">
      <c r="A3461" s="55"/>
      <c r="B3461"/>
    </row>
    <row r="3462" spans="1:2">
      <c r="A3462" s="55"/>
      <c r="B3462"/>
    </row>
    <row r="3463" spans="1:2">
      <c r="A3463" s="55"/>
      <c r="B3463"/>
    </row>
    <row r="3464" spans="1:2">
      <c r="A3464" s="55"/>
      <c r="B3464"/>
    </row>
    <row r="3465" spans="1:2">
      <c r="A3465" s="55"/>
      <c r="B3465"/>
    </row>
    <row r="3466" spans="1:2">
      <c r="A3466" s="55"/>
      <c r="B3466"/>
    </row>
    <row r="3467" spans="1:2">
      <c r="A3467" s="55"/>
      <c r="B3467"/>
    </row>
    <row r="3468" spans="1:2">
      <c r="A3468" s="55"/>
      <c r="B3468"/>
    </row>
    <row r="3469" spans="1:2">
      <c r="A3469" s="55"/>
      <c r="B3469"/>
    </row>
    <row r="3470" spans="1:2">
      <c r="A3470" s="55"/>
      <c r="B3470"/>
    </row>
    <row r="3471" spans="1:2">
      <c r="A3471" s="55"/>
      <c r="B3471"/>
    </row>
    <row r="3472" spans="1:2">
      <c r="A3472" s="55"/>
      <c r="B3472"/>
    </row>
    <row r="3473" spans="1:2">
      <c r="A3473" s="55"/>
      <c r="B3473"/>
    </row>
    <row r="3474" spans="1:2">
      <c r="A3474" s="55"/>
      <c r="B3474"/>
    </row>
    <row r="3475" spans="1:2">
      <c r="A3475" s="55"/>
      <c r="B3475"/>
    </row>
    <row r="3476" spans="1:2">
      <c r="A3476" s="55"/>
      <c r="B3476"/>
    </row>
    <row r="3477" spans="1:2">
      <c r="A3477" s="55"/>
      <c r="B3477"/>
    </row>
    <row r="3478" spans="1:2">
      <c r="A3478" s="55"/>
      <c r="B3478"/>
    </row>
    <row r="3479" spans="1:2">
      <c r="A3479" s="55"/>
      <c r="B3479"/>
    </row>
    <row r="3480" spans="1:2">
      <c r="A3480" s="55"/>
      <c r="B3480"/>
    </row>
    <row r="3481" spans="1:2">
      <c r="A3481" s="55"/>
      <c r="B3481"/>
    </row>
    <row r="3482" spans="1:2">
      <c r="A3482" s="55"/>
      <c r="B3482"/>
    </row>
    <row r="3483" spans="1:2">
      <c r="A3483" s="55"/>
      <c r="B3483"/>
    </row>
    <row r="3484" spans="1:2">
      <c r="A3484" s="55"/>
      <c r="B3484"/>
    </row>
    <row r="3485" spans="1:2">
      <c r="A3485" s="55"/>
      <c r="B3485"/>
    </row>
    <row r="3486" spans="1:2">
      <c r="A3486" s="55"/>
      <c r="B3486"/>
    </row>
    <row r="3487" spans="1:2">
      <c r="A3487" s="55"/>
      <c r="B3487"/>
    </row>
    <row r="3488" spans="1:2">
      <c r="A3488" s="55"/>
      <c r="B3488"/>
    </row>
    <row r="3489" spans="1:2">
      <c r="A3489" s="55"/>
      <c r="B3489"/>
    </row>
    <row r="3490" spans="1:2">
      <c r="A3490" s="55"/>
      <c r="B3490"/>
    </row>
    <row r="3491" spans="1:2">
      <c r="A3491" s="55"/>
      <c r="B3491"/>
    </row>
    <row r="3492" spans="1:2">
      <c r="A3492" s="55"/>
      <c r="B3492"/>
    </row>
    <row r="3493" spans="1:2">
      <c r="A3493" s="55"/>
      <c r="B3493"/>
    </row>
    <row r="3494" spans="1:2">
      <c r="A3494" s="55"/>
      <c r="B3494"/>
    </row>
    <row r="3495" spans="1:2">
      <c r="A3495" s="55"/>
      <c r="B3495"/>
    </row>
    <row r="3496" spans="1:2">
      <c r="A3496" s="55"/>
      <c r="B3496"/>
    </row>
    <row r="3497" spans="1:2">
      <c r="A3497" s="55"/>
      <c r="B3497"/>
    </row>
    <row r="3498" spans="1:2">
      <c r="A3498" s="55"/>
      <c r="B3498"/>
    </row>
    <row r="3499" spans="1:2">
      <c r="A3499" s="55"/>
      <c r="B3499"/>
    </row>
    <row r="3500" spans="1:2">
      <c r="A3500" s="55"/>
      <c r="B3500"/>
    </row>
    <row r="3501" spans="1:2">
      <c r="A3501" s="55"/>
      <c r="B3501"/>
    </row>
    <row r="3502" spans="1:2">
      <c r="A3502" s="55"/>
      <c r="B3502"/>
    </row>
    <row r="3503" spans="1:2">
      <c r="A3503" s="55"/>
      <c r="B3503"/>
    </row>
    <row r="3504" spans="1:2">
      <c r="A3504" s="55"/>
      <c r="B3504"/>
    </row>
    <row r="3505" spans="1:2">
      <c r="A3505" s="55"/>
      <c r="B3505"/>
    </row>
    <row r="3506" spans="1:2">
      <c r="A3506" s="55"/>
      <c r="B3506"/>
    </row>
    <row r="3507" spans="1:2">
      <c r="A3507" s="55"/>
      <c r="B3507"/>
    </row>
    <row r="3508" spans="1:2">
      <c r="A3508" s="55"/>
      <c r="B3508"/>
    </row>
    <row r="3509" spans="1:2">
      <c r="A3509" s="55"/>
      <c r="B3509"/>
    </row>
    <row r="3510" spans="1:2">
      <c r="A3510" s="55"/>
      <c r="B3510"/>
    </row>
    <row r="3511" spans="1:2">
      <c r="A3511" s="55"/>
      <c r="B3511"/>
    </row>
    <row r="3512" spans="1:2">
      <c r="A3512" s="55"/>
      <c r="B3512"/>
    </row>
    <row r="3513" spans="1:2">
      <c r="A3513" s="55"/>
      <c r="B3513"/>
    </row>
    <row r="3514" spans="1:2">
      <c r="A3514" s="55"/>
      <c r="B3514"/>
    </row>
    <row r="3515" spans="1:2">
      <c r="A3515" s="55"/>
      <c r="B3515"/>
    </row>
    <row r="3516" spans="1:2">
      <c r="A3516" s="55"/>
      <c r="B3516"/>
    </row>
    <row r="3517" spans="1:2">
      <c r="A3517" s="55"/>
      <c r="B3517"/>
    </row>
    <row r="3518" spans="1:2">
      <c r="A3518" s="55"/>
      <c r="B3518"/>
    </row>
    <row r="3519" spans="1:2">
      <c r="A3519" s="55"/>
      <c r="B3519"/>
    </row>
    <row r="3520" spans="1:2">
      <c r="A3520" s="55"/>
      <c r="B3520"/>
    </row>
    <row r="3521" spans="1:2">
      <c r="A3521" s="55"/>
      <c r="B3521"/>
    </row>
    <row r="3522" spans="1:2">
      <c r="A3522" s="55"/>
      <c r="B3522"/>
    </row>
    <row r="3523" spans="1:2">
      <c r="A3523" s="55"/>
      <c r="B3523"/>
    </row>
    <row r="3524" spans="1:2">
      <c r="A3524" s="55"/>
      <c r="B3524"/>
    </row>
    <row r="3525" spans="1:2">
      <c r="A3525" s="55"/>
      <c r="B3525"/>
    </row>
    <row r="3526" spans="1:2">
      <c r="A3526" s="55"/>
      <c r="B3526"/>
    </row>
    <row r="3527" spans="1:2">
      <c r="A3527" s="55"/>
      <c r="B3527"/>
    </row>
    <row r="3528" spans="1:2">
      <c r="A3528" s="55"/>
      <c r="B3528"/>
    </row>
    <row r="3529" spans="1:2">
      <c r="A3529" s="55"/>
      <c r="B3529"/>
    </row>
    <row r="3530" spans="1:2">
      <c r="A3530" s="55"/>
      <c r="B3530"/>
    </row>
    <row r="3531" spans="1:2">
      <c r="A3531" s="55"/>
      <c r="B3531"/>
    </row>
    <row r="3532" spans="1:2">
      <c r="A3532" s="55"/>
      <c r="B3532"/>
    </row>
    <row r="3533" spans="1:2">
      <c r="A3533" s="55"/>
      <c r="B3533"/>
    </row>
    <row r="3534" spans="1:2">
      <c r="A3534" s="55"/>
      <c r="B3534"/>
    </row>
    <row r="3535" spans="1:2">
      <c r="A3535" s="55"/>
      <c r="B3535"/>
    </row>
    <row r="3536" spans="1:2">
      <c r="A3536" s="55"/>
      <c r="B3536"/>
    </row>
    <row r="3537" spans="1:2">
      <c r="A3537" s="55"/>
      <c r="B3537"/>
    </row>
    <row r="3538" spans="1:2">
      <c r="A3538" s="55"/>
      <c r="B3538"/>
    </row>
    <row r="3539" spans="1:2">
      <c r="A3539" s="55"/>
      <c r="B3539"/>
    </row>
    <row r="3540" spans="1:2">
      <c r="A3540" s="55"/>
      <c r="B3540"/>
    </row>
    <row r="3541" spans="1:2">
      <c r="A3541" s="55"/>
      <c r="B3541"/>
    </row>
    <row r="3542" spans="1:2">
      <c r="A3542" s="55"/>
      <c r="B3542"/>
    </row>
    <row r="3543" spans="1:2">
      <c r="A3543" s="55"/>
      <c r="B3543"/>
    </row>
    <row r="3544" spans="1:2">
      <c r="A3544" s="55"/>
      <c r="B3544"/>
    </row>
    <row r="3545" spans="1:2">
      <c r="A3545" s="55"/>
      <c r="B3545"/>
    </row>
    <row r="3546" spans="1:2">
      <c r="A3546" s="55"/>
      <c r="B3546"/>
    </row>
    <row r="3547" spans="1:2">
      <c r="A3547" s="55"/>
      <c r="B3547"/>
    </row>
    <row r="3548" spans="1:2">
      <c r="A3548" s="55"/>
      <c r="B3548"/>
    </row>
    <row r="3549" spans="1:2">
      <c r="A3549" s="55"/>
      <c r="B3549"/>
    </row>
    <row r="3550" spans="1:2">
      <c r="A3550" s="55"/>
      <c r="B3550"/>
    </row>
    <row r="3551" spans="1:2">
      <c r="A3551" s="55"/>
      <c r="B3551"/>
    </row>
    <row r="3552" spans="1:2">
      <c r="A3552" s="55"/>
      <c r="B3552"/>
    </row>
    <row r="3553" spans="1:2">
      <c r="A3553" s="55"/>
      <c r="B3553"/>
    </row>
    <row r="3554" spans="1:2">
      <c r="A3554" s="55"/>
      <c r="B3554"/>
    </row>
    <row r="3555" spans="1:2">
      <c r="A3555" s="55"/>
      <c r="B3555"/>
    </row>
    <row r="3556" spans="1:2">
      <c r="A3556" s="55"/>
      <c r="B3556"/>
    </row>
    <row r="3557" spans="1:2">
      <c r="A3557" s="55"/>
      <c r="B3557"/>
    </row>
    <row r="3558" spans="1:2">
      <c r="A3558" s="55"/>
      <c r="B3558"/>
    </row>
    <row r="3559" spans="1:2">
      <c r="A3559" s="55"/>
      <c r="B3559"/>
    </row>
    <row r="3560" spans="1:2">
      <c r="A3560" s="55"/>
      <c r="B3560"/>
    </row>
    <row r="3561" spans="1:2">
      <c r="A3561" s="55"/>
      <c r="B3561"/>
    </row>
    <row r="3562" spans="1:2">
      <c r="A3562" s="55"/>
      <c r="B3562"/>
    </row>
    <row r="3563" spans="1:2">
      <c r="A3563" s="55"/>
      <c r="B3563"/>
    </row>
    <row r="3564" spans="1:2">
      <c r="A3564" s="55"/>
      <c r="B3564"/>
    </row>
    <row r="3565" spans="1:2">
      <c r="A3565" s="55"/>
      <c r="B3565"/>
    </row>
    <row r="3566" spans="1:2">
      <c r="A3566" s="55"/>
      <c r="B3566"/>
    </row>
    <row r="3567" spans="1:2">
      <c r="A3567" s="55"/>
      <c r="B3567"/>
    </row>
    <row r="3568" spans="1:2">
      <c r="A3568" s="55"/>
      <c r="B3568"/>
    </row>
    <row r="3569" spans="1:2">
      <c r="A3569" s="55"/>
      <c r="B3569"/>
    </row>
    <row r="3570" spans="1:2">
      <c r="A3570" s="55"/>
      <c r="B3570"/>
    </row>
    <row r="3571" spans="1:2">
      <c r="A3571" s="55"/>
      <c r="B3571"/>
    </row>
    <row r="3572" spans="1:2">
      <c r="A3572" s="55"/>
      <c r="B3572"/>
    </row>
    <row r="3573" spans="1:2">
      <c r="A3573" s="55"/>
      <c r="B3573"/>
    </row>
    <row r="3574" spans="1:2">
      <c r="A3574" s="55"/>
      <c r="B3574"/>
    </row>
    <row r="3575" spans="1:2">
      <c r="A3575" s="55"/>
      <c r="B3575"/>
    </row>
    <row r="3576" spans="1:2">
      <c r="A3576" s="55"/>
      <c r="B3576"/>
    </row>
    <row r="3577" spans="1:2">
      <c r="A3577" s="55"/>
      <c r="B3577"/>
    </row>
    <row r="3578" spans="1:2">
      <c r="A3578" s="55"/>
      <c r="B3578"/>
    </row>
    <row r="3579" spans="1:2">
      <c r="A3579" s="55"/>
      <c r="B3579"/>
    </row>
    <row r="3580" spans="1:2">
      <c r="A3580" s="55"/>
      <c r="B3580"/>
    </row>
    <row r="3581" spans="1:2">
      <c r="A3581" s="55"/>
      <c r="B3581"/>
    </row>
    <row r="3582" spans="1:2">
      <c r="A3582" s="55"/>
      <c r="B3582"/>
    </row>
    <row r="3583" spans="1:2">
      <c r="A3583" s="55"/>
      <c r="B3583"/>
    </row>
    <row r="3584" spans="1:2">
      <c r="A3584" s="55"/>
      <c r="B3584"/>
    </row>
    <row r="3585" spans="1:2">
      <c r="A3585" s="55"/>
      <c r="B3585"/>
    </row>
    <row r="3586" spans="1:2">
      <c r="A3586" s="55"/>
      <c r="B3586"/>
    </row>
    <row r="3587" spans="1:2">
      <c r="A3587" s="55"/>
      <c r="B3587"/>
    </row>
    <row r="3588" spans="1:2">
      <c r="A3588" s="55"/>
      <c r="B3588"/>
    </row>
    <row r="3589" spans="1:2">
      <c r="A3589" s="55"/>
      <c r="B3589"/>
    </row>
    <row r="3590" spans="1:2">
      <c r="A3590" s="55"/>
      <c r="B3590"/>
    </row>
    <row r="3591" spans="1:2">
      <c r="A3591" s="55"/>
      <c r="B3591"/>
    </row>
    <row r="3592" spans="1:2">
      <c r="A3592" s="55"/>
      <c r="B3592"/>
    </row>
    <row r="3593" spans="1:2">
      <c r="A3593" s="55"/>
      <c r="B3593"/>
    </row>
    <row r="3594" spans="1:2">
      <c r="A3594" s="55"/>
      <c r="B3594"/>
    </row>
    <row r="3595" spans="1:2">
      <c r="A3595" s="55"/>
      <c r="B3595"/>
    </row>
    <row r="3596" spans="1:2">
      <c r="A3596" s="55"/>
      <c r="B3596"/>
    </row>
    <row r="3597" spans="1:2">
      <c r="A3597" s="55"/>
      <c r="B3597"/>
    </row>
    <row r="3598" spans="1:2">
      <c r="A3598" s="55"/>
      <c r="B3598"/>
    </row>
    <row r="3599" spans="1:2">
      <c r="A3599" s="55"/>
      <c r="B3599"/>
    </row>
    <row r="3600" spans="1:2">
      <c r="A3600" s="55"/>
      <c r="B3600"/>
    </row>
    <row r="3601" spans="1:2">
      <c r="A3601" s="55"/>
      <c r="B3601"/>
    </row>
    <row r="3602" spans="1:2">
      <c r="A3602" s="55"/>
      <c r="B3602"/>
    </row>
    <row r="3603" spans="1:2">
      <c r="A3603" s="55"/>
      <c r="B3603"/>
    </row>
    <row r="3604" spans="1:2">
      <c r="A3604" s="55"/>
      <c r="B3604"/>
    </row>
    <row r="3605" spans="1:2">
      <c r="A3605" s="55"/>
      <c r="B3605"/>
    </row>
    <row r="3606" spans="1:2">
      <c r="A3606" s="55"/>
      <c r="B3606"/>
    </row>
    <row r="3607" spans="1:2">
      <c r="A3607" s="55"/>
      <c r="B3607"/>
    </row>
    <row r="3608" spans="1:2">
      <c r="A3608" s="55"/>
      <c r="B3608"/>
    </row>
    <row r="3609" spans="1:2">
      <c r="A3609" s="55"/>
      <c r="B3609"/>
    </row>
    <row r="3610" spans="1:2">
      <c r="A3610" s="55"/>
      <c r="B3610"/>
    </row>
    <row r="3611" spans="1:2">
      <c r="A3611" s="55"/>
      <c r="B3611"/>
    </row>
    <row r="3612" spans="1:2">
      <c r="A3612" s="55"/>
      <c r="B3612"/>
    </row>
    <row r="3613" spans="1:2">
      <c r="A3613" s="55"/>
      <c r="B3613"/>
    </row>
    <row r="3614" spans="1:2">
      <c r="A3614" s="55"/>
      <c r="B3614"/>
    </row>
    <row r="3615" spans="1:2">
      <c r="A3615" s="55"/>
      <c r="B3615"/>
    </row>
    <row r="3616" spans="1:2">
      <c r="A3616" s="55"/>
      <c r="B3616"/>
    </row>
    <row r="3617" spans="1:2">
      <c r="A3617" s="55"/>
      <c r="B3617"/>
    </row>
    <row r="3618" spans="1:2">
      <c r="A3618" s="55"/>
      <c r="B3618"/>
    </row>
    <row r="3619" spans="1:2">
      <c r="A3619" s="55"/>
      <c r="B3619"/>
    </row>
    <row r="3620" spans="1:2">
      <c r="A3620" s="55"/>
      <c r="B3620"/>
    </row>
    <row r="3621" spans="1:2">
      <c r="A3621" s="55"/>
      <c r="B3621"/>
    </row>
    <row r="3622" spans="1:2">
      <c r="A3622" s="55"/>
      <c r="B3622"/>
    </row>
    <row r="3623" spans="1:2">
      <c r="A3623" s="55"/>
      <c r="B3623"/>
    </row>
    <row r="3624" spans="1:2">
      <c r="A3624" s="55"/>
      <c r="B3624"/>
    </row>
    <row r="3625" spans="1:2">
      <c r="A3625" s="55"/>
      <c r="B3625"/>
    </row>
    <row r="3626" spans="1:2">
      <c r="A3626" s="55"/>
      <c r="B3626"/>
    </row>
    <row r="3627" spans="1:2">
      <c r="A3627" s="55"/>
      <c r="B3627"/>
    </row>
    <row r="3628" spans="1:2">
      <c r="A3628" s="55"/>
      <c r="B3628"/>
    </row>
    <row r="3629" spans="1:2">
      <c r="A3629" s="55"/>
      <c r="B3629"/>
    </row>
    <row r="3630" spans="1:2">
      <c r="A3630" s="55"/>
      <c r="B3630"/>
    </row>
    <row r="3631" spans="1:2">
      <c r="A3631" s="55"/>
      <c r="B3631"/>
    </row>
    <row r="3632" spans="1:2">
      <c r="A3632" s="55"/>
      <c r="B3632"/>
    </row>
    <row r="3633" spans="1:2">
      <c r="A3633" s="55"/>
      <c r="B3633"/>
    </row>
    <row r="3634" spans="1:2">
      <c r="A3634" s="55"/>
      <c r="B3634"/>
    </row>
    <row r="3635" spans="1:2">
      <c r="A3635" s="55"/>
      <c r="B3635"/>
    </row>
    <row r="3636" spans="1:2">
      <c r="A3636" s="55"/>
      <c r="B3636"/>
    </row>
    <row r="3637" spans="1:2">
      <c r="A3637" s="55"/>
      <c r="B3637"/>
    </row>
    <row r="3638" spans="1:2">
      <c r="A3638" s="55"/>
      <c r="B3638"/>
    </row>
    <row r="3639" spans="1:2">
      <c r="A3639" s="55"/>
      <c r="B3639"/>
    </row>
    <row r="3640" spans="1:2">
      <c r="A3640" s="55"/>
      <c r="B3640"/>
    </row>
    <row r="3641" spans="1:2">
      <c r="A3641" s="55"/>
      <c r="B3641"/>
    </row>
    <row r="3642" spans="1:2">
      <c r="A3642" s="55"/>
      <c r="B3642"/>
    </row>
    <row r="3643" spans="1:2">
      <c r="A3643" s="55"/>
      <c r="B3643"/>
    </row>
    <row r="3644" spans="1:2">
      <c r="A3644" s="55"/>
      <c r="B3644"/>
    </row>
    <row r="3645" spans="1:2">
      <c r="A3645" s="55"/>
      <c r="B3645"/>
    </row>
    <row r="3646" spans="1:2">
      <c r="A3646" s="55"/>
      <c r="B3646"/>
    </row>
    <row r="3647" spans="1:2">
      <c r="A3647" s="55"/>
      <c r="B3647"/>
    </row>
    <row r="3648" spans="1:2">
      <c r="A3648" s="55"/>
      <c r="B3648"/>
    </row>
    <row r="3649" spans="1:2">
      <c r="A3649" s="55"/>
      <c r="B3649"/>
    </row>
    <row r="3650" spans="1:2">
      <c r="A3650" s="55"/>
      <c r="B3650"/>
    </row>
    <row r="3651" spans="1:2">
      <c r="A3651" s="55"/>
      <c r="B3651"/>
    </row>
    <row r="3652" spans="1:2">
      <c r="A3652" s="55"/>
      <c r="B3652"/>
    </row>
    <row r="3653" spans="1:2">
      <c r="A3653" s="55"/>
      <c r="B3653"/>
    </row>
    <row r="3654" spans="1:2">
      <c r="A3654" s="55"/>
      <c r="B3654"/>
    </row>
    <row r="3655" spans="1:2">
      <c r="A3655" s="55"/>
      <c r="B3655"/>
    </row>
    <row r="3656" spans="1:2">
      <c r="A3656" s="55"/>
      <c r="B3656"/>
    </row>
    <row r="3657" spans="1:2">
      <c r="A3657" s="55"/>
      <c r="B3657"/>
    </row>
    <row r="3658" spans="1:2">
      <c r="A3658" s="55"/>
      <c r="B3658"/>
    </row>
    <row r="3659" spans="1:2">
      <c r="A3659" s="55"/>
      <c r="B3659"/>
    </row>
    <row r="3660" spans="1:2">
      <c r="A3660" s="55"/>
      <c r="B3660"/>
    </row>
    <row r="3661" spans="1:2">
      <c r="A3661" s="55"/>
      <c r="B3661"/>
    </row>
    <row r="3662" spans="1:2">
      <c r="A3662" s="55"/>
      <c r="B3662"/>
    </row>
    <row r="3663" spans="1:2">
      <c r="A3663" s="55"/>
      <c r="B3663"/>
    </row>
    <row r="3664" spans="1:2">
      <c r="A3664" s="55"/>
      <c r="B3664"/>
    </row>
    <row r="3665" spans="1:2">
      <c r="A3665" s="55"/>
      <c r="B3665"/>
    </row>
    <row r="3666" spans="1:2">
      <c r="A3666" s="55"/>
      <c r="B3666"/>
    </row>
    <row r="3667" spans="1:2">
      <c r="A3667" s="55"/>
      <c r="B3667"/>
    </row>
    <row r="3668" spans="1:2">
      <c r="A3668" s="55"/>
      <c r="B3668"/>
    </row>
    <row r="3669" spans="1:2">
      <c r="A3669" s="55"/>
      <c r="B3669"/>
    </row>
    <row r="3670" spans="1:2">
      <c r="A3670" s="55"/>
      <c r="B3670"/>
    </row>
    <row r="3671" spans="1:2">
      <c r="A3671" s="55"/>
      <c r="B3671"/>
    </row>
    <row r="3672" spans="1:2">
      <c r="A3672" s="55"/>
      <c r="B3672"/>
    </row>
    <row r="3673" spans="1:2">
      <c r="A3673" s="55"/>
      <c r="B3673"/>
    </row>
    <row r="3674" spans="1:2">
      <c r="A3674" s="55"/>
      <c r="B3674"/>
    </row>
    <row r="3675" spans="1:2">
      <c r="A3675" s="55"/>
      <c r="B3675"/>
    </row>
    <row r="3676" spans="1:2">
      <c r="A3676" s="55"/>
      <c r="B3676"/>
    </row>
    <row r="3677" spans="1:2">
      <c r="A3677" s="55"/>
      <c r="B3677"/>
    </row>
    <row r="3678" spans="1:2">
      <c r="A3678" s="55"/>
      <c r="B3678"/>
    </row>
    <row r="3679" spans="1:2">
      <c r="A3679" s="55"/>
      <c r="B3679"/>
    </row>
    <row r="3680" spans="1:2">
      <c r="A3680" s="55"/>
      <c r="B3680"/>
    </row>
    <row r="3681" spans="1:2">
      <c r="A3681" s="55"/>
      <c r="B3681"/>
    </row>
    <row r="3682" spans="1:2">
      <c r="A3682" s="55"/>
      <c r="B3682"/>
    </row>
    <row r="3683" spans="1:2">
      <c r="A3683" s="55"/>
      <c r="B3683"/>
    </row>
    <row r="3684" spans="1:2">
      <c r="A3684" s="55"/>
      <c r="B3684"/>
    </row>
    <row r="3685" spans="1:2">
      <c r="A3685" s="55"/>
      <c r="B3685"/>
    </row>
    <row r="3686" spans="1:2">
      <c r="A3686" s="55"/>
      <c r="B3686"/>
    </row>
    <row r="3687" spans="1:2">
      <c r="A3687" s="55"/>
      <c r="B3687"/>
    </row>
    <row r="3688" spans="1:2">
      <c r="A3688" s="55"/>
      <c r="B3688"/>
    </row>
    <row r="3689" spans="1:2">
      <c r="A3689" s="55"/>
      <c r="B3689"/>
    </row>
    <row r="3690" spans="1:2">
      <c r="A3690" s="55"/>
      <c r="B3690"/>
    </row>
    <row r="3691" spans="1:2">
      <c r="A3691" s="55"/>
      <c r="B3691"/>
    </row>
    <row r="3692" spans="1:2">
      <c r="A3692" s="55"/>
      <c r="B3692"/>
    </row>
    <row r="3693" spans="1:2">
      <c r="A3693" s="55"/>
      <c r="B3693"/>
    </row>
    <row r="3694" spans="1:2">
      <c r="A3694" s="55"/>
      <c r="B3694"/>
    </row>
    <row r="3695" spans="1:2">
      <c r="A3695" s="55"/>
      <c r="B3695"/>
    </row>
    <row r="3696" spans="1:2">
      <c r="A3696" s="55"/>
      <c r="B3696"/>
    </row>
    <row r="3697" spans="1:2">
      <c r="A3697" s="55"/>
      <c r="B3697"/>
    </row>
    <row r="3698" spans="1:2">
      <c r="A3698" s="55"/>
      <c r="B3698"/>
    </row>
    <row r="3699" spans="1:2">
      <c r="A3699" s="55"/>
      <c r="B3699"/>
    </row>
    <row r="3700" spans="1:2">
      <c r="A3700" s="55"/>
      <c r="B3700"/>
    </row>
    <row r="3701" spans="1:2">
      <c r="A3701" s="55"/>
      <c r="B3701"/>
    </row>
    <row r="3702" spans="1:2">
      <c r="A3702" s="55"/>
      <c r="B3702"/>
    </row>
    <row r="3703" spans="1:2">
      <c r="A3703" s="55"/>
      <c r="B3703"/>
    </row>
    <row r="3704" spans="1:2">
      <c r="A3704" s="55"/>
      <c r="B3704"/>
    </row>
    <row r="3705" spans="1:2">
      <c r="A3705" s="55"/>
      <c r="B3705"/>
    </row>
    <row r="3706" spans="1:2">
      <c r="A3706" s="55"/>
      <c r="B3706"/>
    </row>
    <row r="3707" spans="1:2">
      <c r="A3707" s="55"/>
      <c r="B3707"/>
    </row>
    <row r="3708" spans="1:2">
      <c r="A3708" s="55"/>
      <c r="B3708"/>
    </row>
    <row r="3709" spans="1:2">
      <c r="A3709" s="55"/>
      <c r="B3709"/>
    </row>
    <row r="3710" spans="1:2">
      <c r="A3710" s="55"/>
      <c r="B3710"/>
    </row>
    <row r="3711" spans="1:2">
      <c r="A3711" s="55"/>
      <c r="B3711"/>
    </row>
    <row r="3712" spans="1:2">
      <c r="A3712" s="55"/>
      <c r="B3712"/>
    </row>
    <row r="3713" spans="1:2">
      <c r="A3713" s="55"/>
      <c r="B3713"/>
    </row>
    <row r="3714" spans="1:2">
      <c r="A3714" s="55"/>
      <c r="B3714"/>
    </row>
    <row r="3715" spans="1:2">
      <c r="A3715" s="55"/>
      <c r="B3715"/>
    </row>
    <row r="3716" spans="1:2">
      <c r="A3716" s="55"/>
      <c r="B3716"/>
    </row>
    <row r="3717" spans="1:2">
      <c r="A3717" s="55"/>
      <c r="B3717"/>
    </row>
    <row r="3718" spans="1:2">
      <c r="A3718" s="55"/>
      <c r="B3718"/>
    </row>
    <row r="3719" spans="1:2">
      <c r="A3719" s="55"/>
      <c r="B3719"/>
    </row>
    <row r="3720" spans="1:2">
      <c r="A3720" s="55"/>
      <c r="B3720"/>
    </row>
    <row r="3721" spans="1:2">
      <c r="A3721" s="55"/>
      <c r="B3721"/>
    </row>
    <row r="3722" spans="1:2">
      <c r="A3722" s="55"/>
      <c r="B3722"/>
    </row>
    <row r="3723" spans="1:2">
      <c r="A3723" s="55"/>
      <c r="B3723"/>
    </row>
    <row r="3724" spans="1:2">
      <c r="A3724" s="55"/>
      <c r="B3724"/>
    </row>
    <row r="3725" spans="1:2">
      <c r="A3725" s="55"/>
      <c r="B3725"/>
    </row>
    <row r="3726" spans="1:2">
      <c r="A3726" s="55"/>
      <c r="B3726"/>
    </row>
    <row r="3727" spans="1:2">
      <c r="A3727" s="55"/>
      <c r="B3727"/>
    </row>
    <row r="3728" spans="1:2">
      <c r="A3728" s="55"/>
      <c r="B3728"/>
    </row>
    <row r="3729" spans="1:2">
      <c r="A3729" s="55"/>
      <c r="B3729"/>
    </row>
    <row r="3730" spans="1:2">
      <c r="A3730" s="55"/>
      <c r="B3730"/>
    </row>
    <row r="3731" spans="1:2">
      <c r="A3731" s="55"/>
      <c r="B3731"/>
    </row>
    <row r="3732" spans="1:2">
      <c r="A3732" s="55"/>
      <c r="B3732"/>
    </row>
    <row r="3733" spans="1:2">
      <c r="A3733" s="55"/>
      <c r="B3733"/>
    </row>
    <row r="3734" spans="1:2">
      <c r="A3734" s="55"/>
      <c r="B3734"/>
    </row>
    <row r="3735" spans="1:2">
      <c r="A3735" s="55"/>
      <c r="B3735"/>
    </row>
    <row r="3736" spans="1:2">
      <c r="A3736" s="55"/>
      <c r="B3736"/>
    </row>
    <row r="3737" spans="1:2">
      <c r="A3737" s="55"/>
      <c r="B3737"/>
    </row>
    <row r="3738" spans="1:2">
      <c r="A3738" s="55"/>
      <c r="B3738"/>
    </row>
    <row r="3739" spans="1:2">
      <c r="A3739" s="55"/>
      <c r="B3739"/>
    </row>
    <row r="3740" spans="1:2">
      <c r="A3740" s="55"/>
      <c r="B3740"/>
    </row>
    <row r="3741" spans="1:2">
      <c r="A3741" s="55"/>
      <c r="B3741"/>
    </row>
    <row r="3742" spans="1:2">
      <c r="A3742" s="55"/>
      <c r="B3742"/>
    </row>
    <row r="3743" spans="1:2">
      <c r="A3743" s="55"/>
      <c r="B3743"/>
    </row>
    <row r="3744" spans="1:2">
      <c r="A3744" s="55"/>
      <c r="B3744"/>
    </row>
    <row r="3745" spans="1:2">
      <c r="A3745" s="55"/>
      <c r="B3745"/>
    </row>
    <row r="3746" spans="1:2">
      <c r="A3746" s="55"/>
      <c r="B3746"/>
    </row>
    <row r="3747" spans="1:2">
      <c r="A3747" s="55"/>
      <c r="B3747"/>
    </row>
    <row r="3748" spans="1:2">
      <c r="A3748" s="55"/>
      <c r="B3748"/>
    </row>
    <row r="3749" spans="1:2">
      <c r="A3749" s="55"/>
      <c r="B3749"/>
    </row>
    <row r="3750" spans="1:2">
      <c r="A3750" s="55"/>
      <c r="B3750"/>
    </row>
    <row r="3751" spans="1:2">
      <c r="A3751" s="55"/>
      <c r="B3751"/>
    </row>
    <row r="3752" spans="1:2">
      <c r="A3752" s="55"/>
      <c r="B3752"/>
    </row>
    <row r="3753" spans="1:2">
      <c r="A3753" s="55"/>
      <c r="B3753"/>
    </row>
    <row r="3754" spans="1:2">
      <c r="A3754" s="55"/>
      <c r="B3754"/>
    </row>
    <row r="3755" spans="1:2">
      <c r="A3755" s="55"/>
      <c r="B3755"/>
    </row>
    <row r="3756" spans="1:2">
      <c r="A3756" s="55"/>
      <c r="B3756"/>
    </row>
    <row r="3757" spans="1:2">
      <c r="A3757" s="55"/>
      <c r="B3757"/>
    </row>
    <row r="3758" spans="1:2">
      <c r="A3758" s="55"/>
      <c r="B3758"/>
    </row>
    <row r="3759" spans="1:2">
      <c r="A3759" s="55"/>
      <c r="B3759"/>
    </row>
    <row r="3760" spans="1:2">
      <c r="A3760" s="55"/>
      <c r="B3760"/>
    </row>
    <row r="3761" spans="1:2">
      <c r="A3761" s="55"/>
      <c r="B3761"/>
    </row>
    <row r="3762" spans="1:2">
      <c r="A3762" s="55"/>
      <c r="B3762"/>
    </row>
    <row r="3763" spans="1:2">
      <c r="A3763" s="55"/>
      <c r="B3763"/>
    </row>
    <row r="3764" spans="1:2">
      <c r="A3764" s="55"/>
      <c r="B3764"/>
    </row>
    <row r="3765" spans="1:2">
      <c r="A3765" s="55"/>
      <c r="B3765"/>
    </row>
    <row r="3766" spans="1:2">
      <c r="A3766" s="55"/>
      <c r="B3766"/>
    </row>
    <row r="3767" spans="1:2">
      <c r="A3767" s="55"/>
      <c r="B3767"/>
    </row>
    <row r="3768" spans="1:2">
      <c r="A3768" s="55"/>
      <c r="B3768"/>
    </row>
    <row r="3769" spans="1:2">
      <c r="A3769" s="55"/>
      <c r="B3769"/>
    </row>
    <row r="3770" spans="1:2">
      <c r="A3770" s="55"/>
      <c r="B3770"/>
    </row>
    <row r="3771" spans="1:2">
      <c r="A3771" s="55"/>
      <c r="B3771"/>
    </row>
    <row r="3772" spans="1:2">
      <c r="A3772" s="55"/>
      <c r="B3772"/>
    </row>
    <row r="3773" spans="1:2">
      <c r="A3773" s="55"/>
      <c r="B3773"/>
    </row>
    <row r="3774" spans="1:2">
      <c r="A3774" s="55"/>
      <c r="B3774"/>
    </row>
    <row r="3775" spans="1:2">
      <c r="A3775" s="55"/>
      <c r="B3775"/>
    </row>
    <row r="3776" spans="1:2">
      <c r="A3776" s="55"/>
      <c r="B3776"/>
    </row>
    <row r="3777" spans="1:2">
      <c r="A3777" s="55"/>
      <c r="B3777"/>
    </row>
    <row r="3778" spans="1:2">
      <c r="A3778" s="55"/>
      <c r="B3778"/>
    </row>
    <row r="3779" spans="1:2">
      <c r="A3779" s="55"/>
      <c r="B3779"/>
    </row>
    <row r="3780" spans="1:2">
      <c r="A3780" s="55"/>
      <c r="B3780"/>
    </row>
    <row r="3781" spans="1:2">
      <c r="A3781" s="55"/>
      <c r="B3781"/>
    </row>
    <row r="3782" spans="1:2">
      <c r="A3782" s="55"/>
      <c r="B3782"/>
    </row>
    <row r="3783" spans="1:2">
      <c r="A3783" s="55"/>
      <c r="B3783"/>
    </row>
    <row r="3784" spans="1:2">
      <c r="A3784" s="55"/>
      <c r="B3784"/>
    </row>
    <row r="3785" spans="1:2">
      <c r="A3785" s="55"/>
      <c r="B3785"/>
    </row>
    <row r="3786" spans="1:2">
      <c r="A3786" s="55"/>
      <c r="B3786"/>
    </row>
    <row r="3787" spans="1:2">
      <c r="A3787" s="55"/>
      <c r="B3787"/>
    </row>
    <row r="3788" spans="1:2">
      <c r="A3788" s="55"/>
      <c r="B3788"/>
    </row>
    <row r="3789" spans="1:2">
      <c r="A3789" s="55"/>
      <c r="B3789"/>
    </row>
    <row r="3790" spans="1:2">
      <c r="A3790" s="55"/>
      <c r="B3790"/>
    </row>
    <row r="3791" spans="1:2">
      <c r="A3791" s="55"/>
      <c r="B3791"/>
    </row>
    <row r="3792" spans="1:2">
      <c r="A3792" s="55"/>
      <c r="B3792"/>
    </row>
    <row r="3793" spans="1:2">
      <c r="A3793" s="55"/>
      <c r="B3793"/>
    </row>
    <row r="3794" spans="1:2">
      <c r="A3794" s="55"/>
      <c r="B3794"/>
    </row>
    <row r="3795" spans="1:2">
      <c r="A3795" s="55"/>
      <c r="B3795"/>
    </row>
    <row r="3796" spans="1:2">
      <c r="A3796" s="55"/>
      <c r="B3796"/>
    </row>
    <row r="3797" spans="1:2">
      <c r="A3797" s="55"/>
      <c r="B3797"/>
    </row>
    <row r="3798" spans="1:2">
      <c r="A3798" s="55"/>
      <c r="B3798"/>
    </row>
    <row r="3799" spans="1:2">
      <c r="A3799" s="55"/>
      <c r="B3799"/>
    </row>
    <row r="3800" spans="1:2">
      <c r="A3800" s="55"/>
      <c r="B3800"/>
    </row>
    <row r="3801" spans="1:2">
      <c r="A3801" s="55"/>
      <c r="B3801"/>
    </row>
    <row r="3802" spans="1:2">
      <c r="A3802" s="55"/>
      <c r="B3802"/>
    </row>
    <row r="3803" spans="1:2">
      <c r="A3803" s="55"/>
      <c r="B3803"/>
    </row>
    <row r="3804" spans="1:2">
      <c r="A3804" s="55"/>
      <c r="B3804"/>
    </row>
    <row r="3805" spans="1:2">
      <c r="A3805" s="55"/>
      <c r="B3805"/>
    </row>
    <row r="3806" spans="1:2">
      <c r="A3806" s="55"/>
      <c r="B3806"/>
    </row>
    <row r="3807" spans="1:2">
      <c r="A3807" s="55"/>
      <c r="B3807"/>
    </row>
    <row r="3808" spans="1:2">
      <c r="A3808" s="55"/>
      <c r="B3808"/>
    </row>
    <row r="3809" spans="1:2">
      <c r="A3809" s="55"/>
      <c r="B3809"/>
    </row>
    <row r="3810" spans="1:2">
      <c r="A3810" s="55"/>
      <c r="B3810"/>
    </row>
    <row r="3811" spans="1:2">
      <c r="A3811" s="55"/>
      <c r="B3811"/>
    </row>
    <row r="3812" spans="1:2">
      <c r="A3812" s="55"/>
      <c r="B3812"/>
    </row>
    <row r="3813" spans="1:2">
      <c r="A3813" s="55"/>
      <c r="B3813"/>
    </row>
    <row r="3814" spans="1:2">
      <c r="A3814" s="55"/>
      <c r="B3814"/>
    </row>
    <row r="3815" spans="1:2">
      <c r="A3815" s="55"/>
      <c r="B3815"/>
    </row>
    <row r="3816" spans="1:2">
      <c r="A3816" s="55"/>
      <c r="B3816"/>
    </row>
    <row r="3817" spans="1:2">
      <c r="A3817" s="55"/>
      <c r="B3817"/>
    </row>
    <row r="3818" spans="1:2">
      <c r="A3818" s="55"/>
      <c r="B3818"/>
    </row>
    <row r="3819" spans="1:2">
      <c r="A3819" s="55"/>
      <c r="B3819"/>
    </row>
    <row r="3820" spans="1:2">
      <c r="A3820" s="55"/>
      <c r="B3820"/>
    </row>
    <row r="3821" spans="1:2">
      <c r="A3821" s="55"/>
      <c r="B3821"/>
    </row>
    <row r="3822" spans="1:2">
      <c r="A3822" s="55"/>
      <c r="B3822"/>
    </row>
    <row r="3823" spans="1:2">
      <c r="A3823" s="55"/>
      <c r="B3823"/>
    </row>
    <row r="3824" spans="1:2">
      <c r="A3824" s="55"/>
      <c r="B3824"/>
    </row>
    <row r="3825" spans="1:2">
      <c r="A3825" s="55"/>
      <c r="B3825"/>
    </row>
    <row r="3826" spans="1:2">
      <c r="A3826" s="55"/>
      <c r="B3826"/>
    </row>
    <row r="3827" spans="1:2">
      <c r="A3827" s="55"/>
      <c r="B3827"/>
    </row>
    <row r="3828" spans="1:2">
      <c r="A3828" s="55"/>
      <c r="B3828"/>
    </row>
    <row r="3829" spans="1:2">
      <c r="A3829" s="55"/>
      <c r="B3829"/>
    </row>
    <row r="3830" spans="1:2">
      <c r="A3830" s="55"/>
      <c r="B3830"/>
    </row>
    <row r="3831" spans="1:2">
      <c r="A3831" s="55"/>
      <c r="B3831"/>
    </row>
    <row r="3832" spans="1:2">
      <c r="A3832" s="55"/>
      <c r="B3832"/>
    </row>
    <row r="3833" spans="1:2">
      <c r="A3833" s="55"/>
      <c r="B3833"/>
    </row>
    <row r="3834" spans="1:2">
      <c r="A3834" s="55"/>
      <c r="B3834"/>
    </row>
    <row r="3835" spans="1:2">
      <c r="A3835" s="55"/>
      <c r="B3835"/>
    </row>
    <row r="3836" spans="1:2">
      <c r="A3836" s="55"/>
      <c r="B3836"/>
    </row>
    <row r="3837" spans="1:2">
      <c r="A3837" s="55"/>
      <c r="B3837"/>
    </row>
    <row r="3838" spans="1:2">
      <c r="A3838" s="55"/>
      <c r="B3838"/>
    </row>
    <row r="3839" spans="1:2">
      <c r="A3839" s="55"/>
      <c r="B3839"/>
    </row>
    <row r="3840" spans="1:2">
      <c r="A3840" s="55"/>
      <c r="B3840"/>
    </row>
    <row r="3841" spans="1:2">
      <c r="A3841" s="55"/>
      <c r="B3841"/>
    </row>
    <row r="3842" spans="1:2">
      <c r="A3842" s="55"/>
      <c r="B3842"/>
    </row>
    <row r="3843" spans="1:2">
      <c r="A3843" s="55"/>
      <c r="B3843"/>
    </row>
    <row r="3844" spans="1:2">
      <c r="A3844" s="55"/>
      <c r="B3844"/>
    </row>
    <row r="3845" spans="1:2">
      <c r="A3845" s="55"/>
      <c r="B3845"/>
    </row>
    <row r="3846" spans="1:2">
      <c r="A3846" s="55"/>
      <c r="B3846"/>
    </row>
    <row r="3847" spans="1:2">
      <c r="A3847" s="55"/>
      <c r="B3847"/>
    </row>
    <row r="3848" spans="1:2">
      <c r="A3848" s="55"/>
      <c r="B3848"/>
    </row>
    <row r="3849" spans="1:2">
      <c r="A3849" s="55"/>
      <c r="B3849"/>
    </row>
    <row r="3850" spans="1:2">
      <c r="A3850" s="55"/>
      <c r="B3850"/>
    </row>
    <row r="3851" spans="1:2">
      <c r="A3851" s="55"/>
      <c r="B3851"/>
    </row>
    <row r="3852" spans="1:2">
      <c r="A3852" s="55"/>
      <c r="B3852"/>
    </row>
    <row r="3853" spans="1:2">
      <c r="A3853" s="55"/>
      <c r="B3853"/>
    </row>
    <row r="3854" spans="1:2">
      <c r="A3854" s="55"/>
      <c r="B3854"/>
    </row>
    <row r="3855" spans="1:2">
      <c r="A3855" s="55"/>
      <c r="B3855"/>
    </row>
    <row r="3856" spans="1:2">
      <c r="A3856" s="55"/>
      <c r="B3856"/>
    </row>
    <row r="3857" spans="1:2">
      <c r="A3857" s="55"/>
      <c r="B3857"/>
    </row>
    <row r="3858" spans="1:2">
      <c r="A3858" s="55"/>
      <c r="B3858"/>
    </row>
    <row r="3859" spans="1:2">
      <c r="A3859" s="55"/>
      <c r="B3859"/>
    </row>
    <row r="3860" spans="1:2">
      <c r="A3860" s="55"/>
      <c r="B3860"/>
    </row>
    <row r="3861" spans="1:2">
      <c r="A3861" s="55"/>
      <c r="B3861"/>
    </row>
    <row r="3862" spans="1:2">
      <c r="A3862" s="55"/>
      <c r="B3862"/>
    </row>
    <row r="3863" spans="1:2">
      <c r="A3863" s="55"/>
      <c r="B3863"/>
    </row>
    <row r="3864" spans="1:2">
      <c r="A3864" s="55"/>
      <c r="B3864"/>
    </row>
    <row r="3865" spans="1:2">
      <c r="A3865" s="55"/>
      <c r="B3865"/>
    </row>
    <row r="3866" spans="1:2">
      <c r="A3866" s="55"/>
      <c r="B3866"/>
    </row>
    <row r="3867" spans="1:2">
      <c r="A3867" s="55"/>
      <c r="B3867"/>
    </row>
    <row r="3868" spans="1:2">
      <c r="A3868" s="55"/>
      <c r="B3868"/>
    </row>
    <row r="3869" spans="1:2">
      <c r="A3869" s="55"/>
      <c r="B3869"/>
    </row>
    <row r="3870" spans="1:2">
      <c r="A3870" s="55"/>
      <c r="B3870"/>
    </row>
    <row r="3871" spans="1:2">
      <c r="A3871" s="55"/>
      <c r="B3871"/>
    </row>
    <row r="3872" spans="1:2">
      <c r="A3872" s="55"/>
      <c r="B3872"/>
    </row>
    <row r="3873" spans="1:2">
      <c r="A3873" s="55"/>
      <c r="B3873"/>
    </row>
    <row r="3874" spans="1:2">
      <c r="A3874" s="55"/>
      <c r="B3874"/>
    </row>
    <row r="3875" spans="1:2">
      <c r="A3875" s="55"/>
      <c r="B3875"/>
    </row>
    <row r="3876" spans="1:2">
      <c r="A3876" s="55"/>
      <c r="B3876"/>
    </row>
    <row r="3877" spans="1:2">
      <c r="A3877" s="55"/>
      <c r="B3877"/>
    </row>
    <row r="3878" spans="1:2">
      <c r="A3878" s="55"/>
      <c r="B3878"/>
    </row>
    <row r="3879" spans="1:2">
      <c r="A3879" s="55"/>
      <c r="B3879"/>
    </row>
    <row r="3880" spans="1:2">
      <c r="A3880" s="55"/>
      <c r="B3880"/>
    </row>
    <row r="3881" spans="1:2">
      <c r="A3881" s="55"/>
      <c r="B3881"/>
    </row>
    <row r="3882" spans="1:2">
      <c r="A3882" s="55"/>
      <c r="B3882"/>
    </row>
    <row r="3883" spans="1:2">
      <c r="A3883" s="55"/>
      <c r="B3883"/>
    </row>
    <row r="3884" spans="1:2">
      <c r="A3884" s="55"/>
      <c r="B3884"/>
    </row>
    <row r="3885" spans="1:2">
      <c r="A3885" s="55"/>
      <c r="B3885"/>
    </row>
    <row r="3886" spans="1:2">
      <c r="A3886" s="55"/>
      <c r="B3886"/>
    </row>
    <row r="3887" spans="1:2">
      <c r="A3887" s="55"/>
      <c r="B3887"/>
    </row>
    <row r="3888" spans="1:2">
      <c r="A3888" s="55"/>
      <c r="B3888"/>
    </row>
    <row r="3889" spans="1:2">
      <c r="A3889" s="55"/>
      <c r="B3889"/>
    </row>
    <row r="3890" spans="1:2">
      <c r="A3890" s="55"/>
      <c r="B3890"/>
    </row>
    <row r="3891" spans="1:2">
      <c r="A3891" s="55"/>
      <c r="B3891"/>
    </row>
    <row r="3892" spans="1:2">
      <c r="A3892" s="55"/>
      <c r="B3892"/>
    </row>
    <row r="3893" spans="1:2">
      <c r="A3893" s="55"/>
      <c r="B3893"/>
    </row>
    <row r="3894" spans="1:2">
      <c r="A3894" s="55"/>
      <c r="B3894"/>
    </row>
    <row r="3895" spans="1:2">
      <c r="A3895" s="55"/>
      <c r="B3895"/>
    </row>
    <row r="3896" spans="1:2">
      <c r="A3896" s="55"/>
      <c r="B3896"/>
    </row>
    <row r="3897" spans="1:2">
      <c r="A3897" s="55"/>
      <c r="B3897"/>
    </row>
    <row r="3898" spans="1:2">
      <c r="A3898" s="55"/>
      <c r="B3898"/>
    </row>
    <row r="3899" spans="1:2">
      <c r="A3899" s="55"/>
      <c r="B3899"/>
    </row>
    <row r="3900" spans="1:2">
      <c r="A3900" s="55"/>
      <c r="B3900"/>
    </row>
    <row r="3901" spans="1:2">
      <c r="A3901" s="55"/>
      <c r="B3901"/>
    </row>
    <row r="3902" spans="1:2">
      <c r="A3902" s="55"/>
      <c r="B3902"/>
    </row>
    <row r="3903" spans="1:2">
      <c r="A3903" s="55"/>
      <c r="B3903"/>
    </row>
    <row r="3904" spans="1:2">
      <c r="A3904" s="55"/>
      <c r="B3904"/>
    </row>
    <row r="3905" spans="1:2">
      <c r="A3905" s="55"/>
      <c r="B3905"/>
    </row>
    <row r="3906" spans="1:2">
      <c r="A3906" s="55"/>
      <c r="B3906"/>
    </row>
    <row r="3907" spans="1:2">
      <c r="A3907" s="55"/>
      <c r="B3907"/>
    </row>
    <row r="3908" spans="1:2">
      <c r="A3908" s="55"/>
      <c r="B3908"/>
    </row>
    <row r="3909" spans="1:2">
      <c r="A3909" s="55"/>
      <c r="B3909"/>
    </row>
    <row r="3910" spans="1:2">
      <c r="A3910" s="55"/>
      <c r="B3910"/>
    </row>
    <row r="3911" spans="1:2">
      <c r="A3911" s="55"/>
      <c r="B3911"/>
    </row>
    <row r="3912" spans="1:2">
      <c r="A3912" s="55"/>
      <c r="B3912"/>
    </row>
    <row r="3913" spans="1:2">
      <c r="A3913" s="55"/>
      <c r="B3913"/>
    </row>
    <row r="3914" spans="1:2">
      <c r="A3914" s="55"/>
      <c r="B3914"/>
    </row>
    <row r="3915" spans="1:2">
      <c r="A3915" s="55"/>
      <c r="B3915"/>
    </row>
    <row r="3916" spans="1:2">
      <c r="A3916" s="55"/>
      <c r="B3916"/>
    </row>
    <row r="3917" spans="1:2">
      <c r="A3917" s="55"/>
      <c r="B3917"/>
    </row>
    <row r="3918" spans="1:2">
      <c r="A3918" s="55"/>
      <c r="B3918"/>
    </row>
    <row r="3919" spans="1:2">
      <c r="A3919" s="55"/>
      <c r="B3919"/>
    </row>
    <row r="3920" spans="1:2">
      <c r="A3920" s="55"/>
      <c r="B3920"/>
    </row>
    <row r="3921" spans="1:2">
      <c r="A3921" s="55"/>
      <c r="B3921"/>
    </row>
    <row r="3922" spans="1:2">
      <c r="A3922" s="55"/>
      <c r="B3922"/>
    </row>
    <row r="3923" spans="1:2">
      <c r="A3923" s="55"/>
      <c r="B3923"/>
    </row>
    <row r="3924" spans="1:2">
      <c r="A3924" s="55"/>
      <c r="B3924"/>
    </row>
    <row r="3925" spans="1:2">
      <c r="A3925" s="55"/>
      <c r="B3925"/>
    </row>
    <row r="3926" spans="1:2">
      <c r="A3926" s="55"/>
      <c r="B3926"/>
    </row>
    <row r="3927" spans="1:2">
      <c r="A3927" s="55"/>
      <c r="B3927"/>
    </row>
    <row r="3928" spans="1:2">
      <c r="A3928" s="55"/>
      <c r="B3928"/>
    </row>
    <row r="3929" spans="1:2">
      <c r="A3929" s="55"/>
      <c r="B3929"/>
    </row>
    <row r="3930" spans="1:2">
      <c r="A3930" s="55"/>
      <c r="B3930"/>
    </row>
    <row r="3931" spans="1:2">
      <c r="A3931" s="55"/>
      <c r="B3931"/>
    </row>
    <row r="3932" spans="1:2">
      <c r="A3932" s="55"/>
      <c r="B3932"/>
    </row>
    <row r="3933" spans="1:2">
      <c r="A3933" s="55"/>
      <c r="B3933"/>
    </row>
    <row r="3934" spans="1:2">
      <c r="A3934" s="55"/>
      <c r="B3934"/>
    </row>
    <row r="3935" spans="1:2">
      <c r="A3935" s="55"/>
      <c r="B3935"/>
    </row>
    <row r="3936" spans="1:2">
      <c r="A3936" s="55"/>
      <c r="B3936"/>
    </row>
    <row r="3937" spans="1:2">
      <c r="A3937" s="55"/>
      <c r="B3937"/>
    </row>
    <row r="3938" spans="1:2">
      <c r="A3938" s="55"/>
      <c r="B3938"/>
    </row>
    <row r="3939" spans="1:2">
      <c r="A3939" s="55"/>
      <c r="B3939"/>
    </row>
    <row r="3940" spans="1:2">
      <c r="A3940" s="55"/>
      <c r="B3940"/>
    </row>
    <row r="3941" spans="1:2">
      <c r="A3941" s="55"/>
      <c r="B3941"/>
    </row>
    <row r="3942" spans="1:2">
      <c r="A3942" s="55"/>
      <c r="B3942"/>
    </row>
    <row r="3943" spans="1:2">
      <c r="A3943" s="55"/>
      <c r="B3943"/>
    </row>
    <row r="3944" spans="1:2">
      <c r="A3944" s="55"/>
      <c r="B3944"/>
    </row>
    <row r="3945" spans="1:2">
      <c r="A3945" s="55"/>
      <c r="B3945"/>
    </row>
    <row r="3946" spans="1:2">
      <c r="A3946" s="55"/>
      <c r="B3946"/>
    </row>
    <row r="3947" spans="1:2">
      <c r="A3947" s="55"/>
      <c r="B3947"/>
    </row>
    <row r="3948" spans="1:2">
      <c r="A3948" s="55"/>
      <c r="B3948"/>
    </row>
    <row r="3949" spans="1:2">
      <c r="A3949" s="55"/>
      <c r="B3949"/>
    </row>
    <row r="3950" spans="1:2">
      <c r="A3950" s="55"/>
      <c r="B3950"/>
    </row>
    <row r="3951" spans="1:2">
      <c r="A3951" s="55"/>
      <c r="B3951"/>
    </row>
    <row r="3952" spans="1:2">
      <c r="A3952" s="55"/>
      <c r="B3952"/>
    </row>
    <row r="3953" spans="1:2">
      <c r="A3953" s="55"/>
      <c r="B3953"/>
    </row>
    <row r="3954" spans="1:2">
      <c r="A3954" s="55"/>
      <c r="B3954"/>
    </row>
    <row r="3955" spans="1:2">
      <c r="A3955" s="55"/>
      <c r="B3955"/>
    </row>
    <row r="3956" spans="1:2">
      <c r="A3956" s="55"/>
      <c r="B3956"/>
    </row>
    <row r="3957" spans="1:2">
      <c r="A3957" s="55"/>
      <c r="B3957"/>
    </row>
    <row r="3958" spans="1:2">
      <c r="A3958" s="55"/>
      <c r="B3958"/>
    </row>
    <row r="3959" spans="1:2">
      <c r="A3959" s="55"/>
      <c r="B3959"/>
    </row>
    <row r="3960" spans="1:2">
      <c r="A3960" s="55"/>
      <c r="B3960"/>
    </row>
    <row r="3961" spans="1:2">
      <c r="A3961" s="55"/>
      <c r="B3961"/>
    </row>
    <row r="3962" spans="1:2">
      <c r="A3962" s="55"/>
      <c r="B3962"/>
    </row>
    <row r="3963" spans="1:2">
      <c r="A3963" s="55"/>
      <c r="B3963"/>
    </row>
    <row r="3964" spans="1:2">
      <c r="A3964" s="55"/>
      <c r="B3964"/>
    </row>
    <row r="3965" spans="1:2">
      <c r="A3965" s="55"/>
      <c r="B3965"/>
    </row>
    <row r="3966" spans="1:2">
      <c r="A3966" s="55"/>
      <c r="B3966"/>
    </row>
    <row r="3967" spans="1:2">
      <c r="A3967" s="55"/>
      <c r="B3967"/>
    </row>
    <row r="3968" spans="1:2">
      <c r="A3968" s="55"/>
      <c r="B3968"/>
    </row>
    <row r="3969" spans="1:2">
      <c r="A3969" s="55"/>
      <c r="B3969"/>
    </row>
    <row r="3970" spans="1:2">
      <c r="A3970" s="55"/>
      <c r="B3970"/>
    </row>
    <row r="3971" spans="1:2">
      <c r="A3971" s="55"/>
      <c r="B3971"/>
    </row>
    <row r="3972" spans="1:2">
      <c r="A3972" s="55"/>
      <c r="B3972"/>
    </row>
    <row r="3973" spans="1:2">
      <c r="A3973" s="55"/>
      <c r="B3973"/>
    </row>
    <row r="3974" spans="1:2">
      <c r="A3974" s="55"/>
      <c r="B3974"/>
    </row>
    <row r="3975" spans="1:2">
      <c r="A3975" s="55"/>
      <c r="B3975"/>
    </row>
    <row r="3976" spans="1:2">
      <c r="A3976" s="55"/>
      <c r="B3976"/>
    </row>
    <row r="3977" spans="1:2">
      <c r="A3977" s="55"/>
      <c r="B3977"/>
    </row>
    <row r="3978" spans="1:2">
      <c r="A3978" s="55"/>
      <c r="B3978"/>
    </row>
    <row r="3979" spans="1:2">
      <c r="A3979" s="55"/>
      <c r="B3979"/>
    </row>
    <row r="3980" spans="1:2">
      <c r="A3980" s="55"/>
      <c r="B3980"/>
    </row>
    <row r="3981" spans="1:2">
      <c r="A3981" s="55"/>
      <c r="B3981"/>
    </row>
    <row r="3982" spans="1:2">
      <c r="A3982" s="55"/>
      <c r="B3982"/>
    </row>
    <row r="3983" spans="1:2">
      <c r="A3983" s="55"/>
      <c r="B3983"/>
    </row>
    <row r="3984" spans="1:2">
      <c r="A3984" s="55"/>
      <c r="B3984"/>
    </row>
    <row r="3985" spans="1:2">
      <c r="A3985" s="55"/>
      <c r="B3985"/>
    </row>
    <row r="3986" spans="1:2">
      <c r="A3986" s="55"/>
      <c r="B3986"/>
    </row>
    <row r="3987" spans="1:2">
      <c r="A3987" s="55"/>
      <c r="B3987"/>
    </row>
    <row r="3988" spans="1:2">
      <c r="A3988" s="55"/>
      <c r="B3988"/>
    </row>
    <row r="3989" spans="1:2">
      <c r="A3989" s="55"/>
      <c r="B3989"/>
    </row>
    <row r="3990" spans="1:2">
      <c r="A3990" s="55"/>
      <c r="B3990"/>
    </row>
    <row r="3991" spans="1:2">
      <c r="A3991" s="55"/>
      <c r="B3991"/>
    </row>
    <row r="3992" spans="1:2">
      <c r="A3992" s="55"/>
      <c r="B3992"/>
    </row>
    <row r="3993" spans="1:2">
      <c r="A3993" s="55"/>
      <c r="B3993"/>
    </row>
    <row r="3994" spans="1:2">
      <c r="A3994" s="55"/>
      <c r="B3994"/>
    </row>
    <row r="3995" spans="1:2">
      <c r="A3995" s="55"/>
      <c r="B3995"/>
    </row>
    <row r="3996" spans="1:2">
      <c r="A3996" s="55"/>
      <c r="B3996"/>
    </row>
    <row r="3997" spans="1:2">
      <c r="A3997" s="55"/>
      <c r="B3997"/>
    </row>
    <row r="3998" spans="1:2">
      <c r="A3998" s="55"/>
      <c r="B3998"/>
    </row>
    <row r="3999" spans="1:2">
      <c r="A3999" s="55"/>
      <c r="B3999"/>
    </row>
    <row r="4000" spans="1:2">
      <c r="A4000" s="55"/>
      <c r="B4000"/>
    </row>
    <row r="4001" spans="1:2">
      <c r="A4001" s="55"/>
      <c r="B4001"/>
    </row>
    <row r="4002" spans="1:2">
      <c r="A4002" s="55"/>
      <c r="B4002"/>
    </row>
    <row r="4003" spans="1:2">
      <c r="A4003" s="55"/>
      <c r="B4003"/>
    </row>
    <row r="4004" spans="1:2">
      <c r="A4004" s="55"/>
      <c r="B4004"/>
    </row>
    <row r="4005" spans="1:2">
      <c r="A4005" s="55"/>
      <c r="B4005"/>
    </row>
    <row r="4006" spans="1:2">
      <c r="A4006" s="55"/>
      <c r="B4006"/>
    </row>
    <row r="4007" spans="1:2">
      <c r="A4007" s="55"/>
      <c r="B4007"/>
    </row>
    <row r="4008" spans="1:2">
      <c r="A4008" s="55"/>
      <c r="B4008"/>
    </row>
    <row r="4009" spans="1:2">
      <c r="A4009" s="55"/>
      <c r="B4009"/>
    </row>
    <row r="4010" spans="1:2">
      <c r="A4010" s="55"/>
      <c r="B4010"/>
    </row>
    <row r="4011" spans="1:2">
      <c r="A4011" s="55"/>
      <c r="B4011"/>
    </row>
    <row r="4012" spans="1:2">
      <c r="A4012" s="55"/>
      <c r="B4012"/>
    </row>
    <row r="4013" spans="1:2">
      <c r="A4013" s="55"/>
      <c r="B4013"/>
    </row>
    <row r="4014" spans="1:2">
      <c r="A4014" s="55"/>
      <c r="B4014"/>
    </row>
    <row r="4015" spans="1:2">
      <c r="A4015" s="55"/>
      <c r="B4015"/>
    </row>
    <row r="4016" spans="1:2">
      <c r="A4016" s="55"/>
      <c r="B4016"/>
    </row>
    <row r="4017" spans="1:2">
      <c r="A4017" s="55"/>
      <c r="B4017"/>
    </row>
    <row r="4018" spans="1:2">
      <c r="A4018" s="55"/>
      <c r="B4018"/>
    </row>
    <row r="4019" spans="1:2">
      <c r="A4019" s="55"/>
      <c r="B4019"/>
    </row>
    <row r="4020" spans="1:2">
      <c r="A4020" s="55"/>
      <c r="B4020"/>
    </row>
    <row r="4021" spans="1:2">
      <c r="A4021" s="55"/>
      <c r="B4021"/>
    </row>
    <row r="4022" spans="1:2">
      <c r="A4022" s="55"/>
      <c r="B4022"/>
    </row>
    <row r="4023" spans="1:2">
      <c r="A4023" s="55"/>
      <c r="B4023"/>
    </row>
    <row r="4024" spans="1:2">
      <c r="A4024" s="55"/>
      <c r="B4024"/>
    </row>
    <row r="4025" spans="1:2">
      <c r="A4025" s="55"/>
      <c r="B4025"/>
    </row>
    <row r="4026" spans="1:2">
      <c r="A4026" s="55"/>
      <c r="B4026"/>
    </row>
    <row r="4027" spans="1:2">
      <c r="A4027" s="55"/>
      <c r="B4027"/>
    </row>
    <row r="4028" spans="1:2">
      <c r="A4028" s="55"/>
      <c r="B4028"/>
    </row>
    <row r="4029" spans="1:2">
      <c r="A4029" s="55"/>
      <c r="B4029"/>
    </row>
    <row r="4030" spans="1:2">
      <c r="A4030" s="55"/>
      <c r="B4030"/>
    </row>
    <row r="4031" spans="1:2">
      <c r="A4031" s="55"/>
      <c r="B4031"/>
    </row>
    <row r="4032" spans="1:2">
      <c r="A4032" s="55"/>
      <c r="B4032"/>
    </row>
    <row r="4033" spans="1:2">
      <c r="A4033" s="55"/>
      <c r="B4033"/>
    </row>
    <row r="4034" spans="1:2">
      <c r="A4034" s="55"/>
      <c r="B4034"/>
    </row>
    <row r="4035" spans="1:2">
      <c r="A4035" s="55"/>
      <c r="B4035"/>
    </row>
    <row r="4036" spans="1:2">
      <c r="A4036" s="55"/>
      <c r="B4036"/>
    </row>
    <row r="4037" spans="1:2">
      <c r="A4037" s="55"/>
      <c r="B4037"/>
    </row>
    <row r="4038" spans="1:2">
      <c r="A4038" s="55"/>
      <c r="B4038"/>
    </row>
    <row r="4039" spans="1:2">
      <c r="A4039" s="55"/>
      <c r="B4039"/>
    </row>
    <row r="4040" spans="1:2">
      <c r="A4040" s="55"/>
      <c r="B4040"/>
    </row>
    <row r="4041" spans="1:2">
      <c r="A4041" s="55"/>
      <c r="B4041"/>
    </row>
    <row r="4042" spans="1:2">
      <c r="A4042" s="55"/>
      <c r="B4042"/>
    </row>
    <row r="4043" spans="1:2">
      <c r="A4043" s="55"/>
      <c r="B4043"/>
    </row>
    <row r="4044" spans="1:2">
      <c r="A4044" s="55"/>
      <c r="B4044"/>
    </row>
    <row r="4045" spans="1:2">
      <c r="A4045" s="55"/>
      <c r="B4045"/>
    </row>
    <row r="4046" spans="1:2">
      <c r="A4046" s="55"/>
      <c r="B4046"/>
    </row>
    <row r="4047" spans="1:2">
      <c r="A4047" s="55"/>
      <c r="B4047"/>
    </row>
    <row r="4048" spans="1:2">
      <c r="A4048" s="55"/>
      <c r="B4048"/>
    </row>
    <row r="4049" spans="1:2">
      <c r="A4049" s="55"/>
      <c r="B4049"/>
    </row>
    <row r="4050" spans="1:2">
      <c r="A4050" s="55"/>
      <c r="B4050"/>
    </row>
    <row r="4051" spans="1:2">
      <c r="A4051" s="55"/>
      <c r="B4051"/>
    </row>
    <row r="4052" spans="1:2">
      <c r="A4052" s="55"/>
      <c r="B4052"/>
    </row>
    <row r="4053" spans="1:2">
      <c r="A4053" s="55"/>
      <c r="B4053"/>
    </row>
    <row r="4054" spans="1:2">
      <c r="A4054" s="55"/>
      <c r="B4054"/>
    </row>
    <row r="4055" spans="1:2">
      <c r="A4055" s="55"/>
      <c r="B4055"/>
    </row>
    <row r="4056" spans="1:2">
      <c r="A4056" s="55"/>
      <c r="B4056"/>
    </row>
    <row r="4057" spans="1:2">
      <c r="A4057" s="55"/>
      <c r="B4057"/>
    </row>
    <row r="4058" spans="1:2">
      <c r="A4058" s="55"/>
      <c r="B4058"/>
    </row>
    <row r="4059" spans="1:2">
      <c r="A4059" s="55"/>
      <c r="B4059"/>
    </row>
    <row r="4060" spans="1:2">
      <c r="A4060" s="55"/>
      <c r="B4060"/>
    </row>
    <row r="4061" spans="1:2">
      <c r="A4061" s="55"/>
      <c r="B4061"/>
    </row>
    <row r="4062" spans="1:2">
      <c r="A4062" s="55"/>
      <c r="B4062"/>
    </row>
    <row r="4063" spans="1:2">
      <c r="A4063" s="55"/>
      <c r="B4063"/>
    </row>
    <row r="4064" spans="1:2">
      <c r="A4064" s="55"/>
      <c r="B4064"/>
    </row>
    <row r="4065" spans="1:2">
      <c r="A4065" s="55"/>
      <c r="B4065"/>
    </row>
    <row r="4066" spans="1:2">
      <c r="A4066" s="55"/>
      <c r="B4066"/>
    </row>
    <row r="4067" spans="1:2">
      <c r="A4067" s="55"/>
      <c r="B4067"/>
    </row>
    <row r="4068" spans="1:2">
      <c r="A4068" s="55"/>
      <c r="B4068"/>
    </row>
    <row r="4069" spans="1:2">
      <c r="A4069" s="55"/>
      <c r="B4069"/>
    </row>
    <row r="4070" spans="1:2">
      <c r="A4070" s="55"/>
      <c r="B4070"/>
    </row>
    <row r="4071" spans="1:2">
      <c r="A4071" s="55"/>
      <c r="B4071"/>
    </row>
    <row r="4072" spans="1:2">
      <c r="A4072" s="55"/>
      <c r="B4072"/>
    </row>
    <row r="4073" spans="1:2">
      <c r="A4073" s="55"/>
      <c r="B4073"/>
    </row>
    <row r="4074" spans="1:2">
      <c r="A4074" s="55"/>
      <c r="B4074"/>
    </row>
    <row r="4075" spans="1:2">
      <c r="A4075" s="55"/>
      <c r="B4075"/>
    </row>
    <row r="4076" spans="1:2">
      <c r="A4076" s="55"/>
      <c r="B4076"/>
    </row>
    <row r="4077" spans="1:2">
      <c r="A4077" s="55"/>
      <c r="B4077"/>
    </row>
    <row r="4078" spans="1:2">
      <c r="A4078" s="55"/>
      <c r="B4078"/>
    </row>
    <row r="4079" spans="1:2">
      <c r="A4079" s="55"/>
      <c r="B4079"/>
    </row>
    <row r="4080" spans="1:2">
      <c r="A4080" s="55"/>
      <c r="B4080"/>
    </row>
    <row r="4081" spans="1:2">
      <c r="A4081" s="55"/>
      <c r="B4081"/>
    </row>
    <row r="4082" spans="1:2">
      <c r="A4082" s="55"/>
      <c r="B4082"/>
    </row>
    <row r="4083" spans="1:2">
      <c r="A4083" s="55"/>
      <c r="B4083"/>
    </row>
    <row r="4084" spans="1:2">
      <c r="A4084" s="55"/>
      <c r="B4084"/>
    </row>
    <row r="4085" spans="1:2">
      <c r="A4085" s="55"/>
      <c r="B4085"/>
    </row>
    <row r="4086" spans="1:2">
      <c r="A4086" s="55"/>
      <c r="B4086"/>
    </row>
    <row r="4087" spans="1:2">
      <c r="A4087" s="55"/>
      <c r="B4087"/>
    </row>
    <row r="4088" spans="1:2">
      <c r="A4088" s="55"/>
      <c r="B4088"/>
    </row>
    <row r="4089" spans="1:2">
      <c r="A4089" s="55"/>
      <c r="B4089"/>
    </row>
    <row r="4090" spans="1:2">
      <c r="A4090" s="55"/>
      <c r="B4090"/>
    </row>
    <row r="4091" spans="1:2">
      <c r="A4091" s="55"/>
      <c r="B4091"/>
    </row>
    <row r="4092" spans="1:2">
      <c r="A4092" s="55"/>
      <c r="B4092"/>
    </row>
    <row r="4093" spans="1:2">
      <c r="A4093" s="55"/>
      <c r="B4093"/>
    </row>
    <row r="4094" spans="1:2">
      <c r="A4094" s="55"/>
      <c r="B4094"/>
    </row>
    <row r="4095" spans="1:2">
      <c r="A4095" s="55"/>
      <c r="B4095"/>
    </row>
    <row r="4096" spans="1:2">
      <c r="A4096" s="55"/>
      <c r="B4096"/>
    </row>
    <row r="4097" spans="1:2">
      <c r="A4097" s="55"/>
      <c r="B4097"/>
    </row>
    <row r="4098" spans="1:2">
      <c r="A4098" s="55"/>
      <c r="B4098"/>
    </row>
    <row r="4099" spans="1:2">
      <c r="A4099" s="55"/>
      <c r="B4099"/>
    </row>
    <row r="4100" spans="1:2">
      <c r="A4100" s="55"/>
      <c r="B4100"/>
    </row>
    <row r="4101" spans="1:2">
      <c r="A4101" s="55"/>
      <c r="B4101"/>
    </row>
    <row r="4102" spans="1:2">
      <c r="A4102" s="55"/>
      <c r="B4102"/>
    </row>
    <row r="4103" spans="1:2">
      <c r="A4103" s="55"/>
      <c r="B4103"/>
    </row>
    <row r="4104" spans="1:2">
      <c r="A4104" s="55"/>
      <c r="B4104"/>
    </row>
    <row r="4105" spans="1:2">
      <c r="A4105" s="55"/>
      <c r="B4105"/>
    </row>
    <row r="4106" spans="1:2">
      <c r="A4106" s="55"/>
      <c r="B4106"/>
    </row>
    <row r="4107" spans="1:2">
      <c r="A4107" s="55"/>
      <c r="B4107"/>
    </row>
    <row r="4108" spans="1:2">
      <c r="A4108" s="55"/>
      <c r="B4108"/>
    </row>
    <row r="4109" spans="1:2">
      <c r="A4109" s="55"/>
      <c r="B4109"/>
    </row>
    <row r="4110" spans="1:2">
      <c r="A4110" s="55"/>
      <c r="B4110"/>
    </row>
    <row r="4111" spans="1:2">
      <c r="A4111" s="55"/>
      <c r="B4111"/>
    </row>
    <row r="4112" spans="1:2">
      <c r="A4112" s="55"/>
      <c r="B4112"/>
    </row>
    <row r="4113" spans="1:2">
      <c r="A4113" s="55"/>
      <c r="B4113"/>
    </row>
    <row r="4114" spans="1:2">
      <c r="A4114" s="55"/>
      <c r="B4114"/>
    </row>
    <row r="4115" spans="1:2">
      <c r="A4115" s="55"/>
      <c r="B4115"/>
    </row>
    <row r="4116" spans="1:2">
      <c r="A4116" s="55"/>
      <c r="B4116"/>
    </row>
    <row r="4117" spans="1:2">
      <c r="A4117" s="55"/>
      <c r="B4117"/>
    </row>
    <row r="4118" spans="1:2">
      <c r="A4118" s="55"/>
      <c r="B4118"/>
    </row>
    <row r="4119" spans="1:2">
      <c r="A4119" s="55"/>
      <c r="B4119"/>
    </row>
    <row r="4120" spans="1:2">
      <c r="A4120" s="55"/>
      <c r="B4120"/>
    </row>
    <row r="4121" spans="1:2">
      <c r="A4121" s="55"/>
      <c r="B4121"/>
    </row>
    <row r="4122" spans="1:2">
      <c r="A4122" s="55"/>
      <c r="B4122"/>
    </row>
    <row r="4123" spans="1:2">
      <c r="A4123" s="55"/>
      <c r="B4123"/>
    </row>
    <row r="4124" spans="1:2">
      <c r="A4124" s="55"/>
      <c r="B4124"/>
    </row>
    <row r="4125" spans="1:2">
      <c r="A4125" s="55"/>
      <c r="B4125"/>
    </row>
    <row r="4126" spans="1:2">
      <c r="A4126" s="55"/>
      <c r="B4126"/>
    </row>
    <row r="4127" spans="1:2">
      <c r="A4127" s="55"/>
      <c r="B4127"/>
    </row>
    <row r="4128" spans="1:2">
      <c r="A4128" s="55"/>
      <c r="B4128"/>
    </row>
    <row r="4129" spans="1:2">
      <c r="A4129" s="55"/>
      <c r="B4129"/>
    </row>
    <row r="4130" spans="1:2">
      <c r="A4130" s="55"/>
      <c r="B4130"/>
    </row>
    <row r="4131" spans="1:2">
      <c r="A4131" s="55"/>
      <c r="B4131"/>
    </row>
    <row r="4132" spans="1:2">
      <c r="A4132" s="55"/>
      <c r="B4132"/>
    </row>
    <row r="4133" spans="1:2">
      <c r="A4133" s="55"/>
      <c r="B4133"/>
    </row>
    <row r="4134" spans="1:2">
      <c r="A4134" s="55"/>
      <c r="B4134"/>
    </row>
    <row r="4135" spans="1:2">
      <c r="A4135" s="55"/>
      <c r="B4135"/>
    </row>
    <row r="4136" spans="1:2">
      <c r="A4136" s="55"/>
      <c r="B4136"/>
    </row>
    <row r="4137" spans="1:2">
      <c r="A4137" s="55"/>
      <c r="B4137"/>
    </row>
    <row r="4138" spans="1:2">
      <c r="A4138" s="55"/>
      <c r="B4138"/>
    </row>
    <row r="4139" spans="1:2">
      <c r="A4139" s="55"/>
      <c r="B4139"/>
    </row>
    <row r="4140" spans="1:2">
      <c r="A4140" s="55"/>
      <c r="B4140"/>
    </row>
    <row r="4141" spans="1:2">
      <c r="A4141" s="55"/>
      <c r="B4141"/>
    </row>
    <row r="4142" spans="1:2">
      <c r="A4142" s="55"/>
      <c r="B4142"/>
    </row>
    <row r="4143" spans="1:2">
      <c r="A4143" s="55"/>
      <c r="B4143"/>
    </row>
    <row r="4144" spans="1:2">
      <c r="A4144" s="55"/>
      <c r="B4144"/>
    </row>
    <row r="4145" spans="1:2">
      <c r="A4145" s="55"/>
      <c r="B4145"/>
    </row>
    <row r="4146" spans="1:2">
      <c r="A4146" s="55"/>
      <c r="B4146"/>
    </row>
    <row r="4147" spans="1:2">
      <c r="A4147" s="55"/>
      <c r="B4147"/>
    </row>
    <row r="4148" spans="1:2">
      <c r="A4148" s="55"/>
      <c r="B4148"/>
    </row>
    <row r="4149" spans="1:2">
      <c r="A4149" s="55"/>
      <c r="B4149"/>
    </row>
    <row r="4150" spans="1:2">
      <c r="A4150" s="55"/>
      <c r="B4150"/>
    </row>
    <row r="4151" spans="1:2">
      <c r="A4151" s="55"/>
      <c r="B4151"/>
    </row>
    <row r="4152" spans="1:2">
      <c r="A4152" s="55"/>
      <c r="B4152"/>
    </row>
    <row r="4153" spans="1:2">
      <c r="A4153" s="55"/>
      <c r="B4153"/>
    </row>
    <row r="4154" spans="1:2">
      <c r="A4154" s="55"/>
      <c r="B4154"/>
    </row>
    <row r="4155" spans="1:2">
      <c r="A4155" s="55"/>
      <c r="B4155"/>
    </row>
    <row r="4156" spans="1:2">
      <c r="A4156" s="55"/>
      <c r="B4156"/>
    </row>
    <row r="4157" spans="1:2">
      <c r="A4157" s="55"/>
      <c r="B4157"/>
    </row>
    <row r="4158" spans="1:2">
      <c r="A4158" s="55"/>
      <c r="B4158"/>
    </row>
    <row r="4159" spans="1:2">
      <c r="A4159" s="55"/>
      <c r="B4159"/>
    </row>
    <row r="4160" spans="1:2">
      <c r="A4160" s="55"/>
      <c r="B4160"/>
    </row>
    <row r="4161" spans="1:2">
      <c r="A4161" s="55"/>
      <c r="B4161"/>
    </row>
    <row r="4162" spans="1:2">
      <c r="A4162" s="55"/>
      <c r="B4162"/>
    </row>
    <row r="4163" spans="1:2">
      <c r="A4163" s="55"/>
      <c r="B4163"/>
    </row>
    <row r="4164" spans="1:2">
      <c r="A4164" s="55"/>
      <c r="B4164"/>
    </row>
    <row r="4165" spans="1:2">
      <c r="A4165" s="55"/>
      <c r="B4165"/>
    </row>
    <row r="4166" spans="1:2">
      <c r="A4166" s="55"/>
      <c r="B4166"/>
    </row>
    <row r="4167" spans="1:2">
      <c r="A4167" s="55"/>
      <c r="B4167"/>
    </row>
    <row r="4168" spans="1:2">
      <c r="A4168" s="55"/>
      <c r="B4168"/>
    </row>
    <row r="4169" spans="1:2">
      <c r="A4169" s="55"/>
      <c r="B4169"/>
    </row>
    <row r="4170" spans="1:2">
      <c r="A4170" s="55"/>
      <c r="B4170"/>
    </row>
    <row r="4171" spans="1:2">
      <c r="A4171" s="55"/>
      <c r="B4171"/>
    </row>
    <row r="4172" spans="1:2">
      <c r="A4172" s="55"/>
      <c r="B4172"/>
    </row>
    <row r="4173" spans="1:2">
      <c r="A4173" s="55"/>
      <c r="B4173"/>
    </row>
    <row r="4174" spans="1:2">
      <c r="A4174" s="55"/>
      <c r="B4174"/>
    </row>
    <row r="4175" spans="1:2">
      <c r="A4175" s="55"/>
      <c r="B4175"/>
    </row>
    <row r="4176" spans="1:2">
      <c r="A4176" s="55"/>
      <c r="B4176"/>
    </row>
    <row r="4177" spans="1:2">
      <c r="A4177" s="55"/>
      <c r="B4177"/>
    </row>
    <row r="4178" spans="1:2">
      <c r="A4178" s="55"/>
      <c r="B4178"/>
    </row>
    <row r="4179" spans="1:2">
      <c r="A4179" s="55"/>
      <c r="B4179"/>
    </row>
    <row r="4180" spans="1:2">
      <c r="A4180" s="55"/>
      <c r="B4180"/>
    </row>
    <row r="4181" spans="1:2">
      <c r="A4181" s="55"/>
      <c r="B4181"/>
    </row>
    <row r="4182" spans="1:2">
      <c r="A4182" s="55"/>
      <c r="B4182"/>
    </row>
    <row r="4183" spans="1:2">
      <c r="A4183" s="55"/>
      <c r="B4183"/>
    </row>
    <row r="4184" spans="1:2">
      <c r="A4184" s="55"/>
      <c r="B4184"/>
    </row>
    <row r="4185" spans="1:2">
      <c r="A4185" s="55"/>
      <c r="B4185"/>
    </row>
    <row r="4186" spans="1:2">
      <c r="A4186" s="55"/>
      <c r="B4186"/>
    </row>
    <row r="4187" spans="1:2">
      <c r="A4187" s="55"/>
      <c r="B4187"/>
    </row>
    <row r="4188" spans="1:2">
      <c r="A4188" s="55"/>
      <c r="B4188"/>
    </row>
    <row r="4189" spans="1:2">
      <c r="A4189" s="55"/>
      <c r="B4189"/>
    </row>
    <row r="4190" spans="1:2">
      <c r="A4190" s="55"/>
      <c r="B4190"/>
    </row>
    <row r="4191" spans="1:2">
      <c r="A4191" s="55"/>
      <c r="B4191"/>
    </row>
    <row r="4192" spans="1:2">
      <c r="A4192" s="55"/>
      <c r="B4192"/>
    </row>
    <row r="4193" spans="1:2">
      <c r="A4193" s="55"/>
      <c r="B4193"/>
    </row>
    <row r="4194" spans="1:2">
      <c r="A4194" s="55"/>
      <c r="B4194"/>
    </row>
    <row r="4195" spans="1:2">
      <c r="A4195" s="55"/>
      <c r="B4195"/>
    </row>
    <row r="4196" spans="1:2">
      <c r="A4196" s="55"/>
      <c r="B4196"/>
    </row>
    <row r="4197" spans="1:2">
      <c r="A4197" s="55"/>
      <c r="B4197"/>
    </row>
    <row r="4198" spans="1:2">
      <c r="A4198" s="55"/>
      <c r="B4198"/>
    </row>
    <row r="4199" spans="1:2">
      <c r="A4199" s="55"/>
      <c r="B4199"/>
    </row>
    <row r="4200" spans="1:2">
      <c r="A4200" s="55"/>
      <c r="B4200"/>
    </row>
    <row r="4201" spans="1:2">
      <c r="A4201" s="55"/>
      <c r="B4201"/>
    </row>
    <row r="4202" spans="1:2">
      <c r="A4202" s="55"/>
      <c r="B4202"/>
    </row>
    <row r="4203" spans="1:2">
      <c r="A4203" s="55"/>
      <c r="B4203"/>
    </row>
    <row r="4204" spans="1:2">
      <c r="A4204" s="55"/>
      <c r="B4204"/>
    </row>
    <row r="4205" spans="1:2">
      <c r="A4205" s="55"/>
      <c r="B4205"/>
    </row>
    <row r="4206" spans="1:2">
      <c r="A4206" s="55"/>
      <c r="B4206"/>
    </row>
    <row r="4207" spans="1:2">
      <c r="A4207" s="55"/>
      <c r="B4207"/>
    </row>
    <row r="4208" spans="1:2">
      <c r="A4208" s="55"/>
      <c r="B4208"/>
    </row>
    <row r="4209" spans="1:2">
      <c r="A4209" s="55"/>
      <c r="B4209"/>
    </row>
    <row r="4210" spans="1:2">
      <c r="A4210" s="55"/>
      <c r="B4210"/>
    </row>
    <row r="4211" spans="1:2">
      <c r="A4211" s="55"/>
      <c r="B4211"/>
    </row>
    <row r="4212" spans="1:2">
      <c r="A4212" s="55"/>
      <c r="B4212"/>
    </row>
    <row r="4213" spans="1:2">
      <c r="A4213" s="55"/>
      <c r="B4213"/>
    </row>
    <row r="4214" spans="1:2">
      <c r="A4214" s="55"/>
      <c r="B4214"/>
    </row>
    <row r="4215" spans="1:2">
      <c r="A4215" s="55"/>
      <c r="B4215"/>
    </row>
    <row r="4216" spans="1:2">
      <c r="A4216" s="55"/>
      <c r="B4216"/>
    </row>
    <row r="4217" spans="1:2">
      <c r="A4217" s="55"/>
      <c r="B4217"/>
    </row>
    <row r="4218" spans="1:2">
      <c r="A4218" s="55"/>
      <c r="B4218"/>
    </row>
    <row r="4219" spans="1:2">
      <c r="A4219" s="55"/>
      <c r="B4219"/>
    </row>
    <row r="4220" spans="1:2">
      <c r="A4220" s="55"/>
      <c r="B4220"/>
    </row>
    <row r="4221" spans="1:2">
      <c r="A4221" s="55"/>
      <c r="B4221"/>
    </row>
    <row r="4222" spans="1:2">
      <c r="A4222" s="55"/>
      <c r="B4222"/>
    </row>
    <row r="4223" spans="1:2">
      <c r="A4223" s="55"/>
      <c r="B4223"/>
    </row>
    <row r="4224" spans="1:2">
      <c r="A4224" s="55"/>
      <c r="B4224"/>
    </row>
    <row r="4225" spans="1:2">
      <c r="A4225" s="55"/>
      <c r="B4225"/>
    </row>
    <row r="4226" spans="1:2">
      <c r="A4226" s="55"/>
      <c r="B4226"/>
    </row>
    <row r="4227" spans="1:2">
      <c r="A4227" s="55"/>
      <c r="B4227"/>
    </row>
    <row r="4228" spans="1:2">
      <c r="A4228" s="55"/>
      <c r="B4228"/>
    </row>
    <row r="4229" spans="1:2">
      <c r="A4229" s="55"/>
      <c r="B4229"/>
    </row>
    <row r="4230" spans="1:2">
      <c r="A4230" s="55"/>
      <c r="B4230"/>
    </row>
    <row r="4231" spans="1:2">
      <c r="A4231" s="55"/>
      <c r="B4231"/>
    </row>
    <row r="4232" spans="1:2">
      <c r="A4232" s="55"/>
      <c r="B4232"/>
    </row>
    <row r="4233" spans="1:2">
      <c r="A4233" s="55"/>
      <c r="B4233"/>
    </row>
    <row r="4234" spans="1:2">
      <c r="A4234" s="55"/>
      <c r="B4234"/>
    </row>
    <row r="4235" spans="1:2">
      <c r="A4235" s="55"/>
      <c r="B4235"/>
    </row>
    <row r="4236" spans="1:2">
      <c r="A4236" s="55"/>
      <c r="B4236"/>
    </row>
    <row r="4237" spans="1:2">
      <c r="A4237" s="55"/>
      <c r="B4237"/>
    </row>
    <row r="4238" spans="1:2">
      <c r="A4238" s="55"/>
      <c r="B4238"/>
    </row>
    <row r="4239" spans="1:2">
      <c r="A4239" s="55"/>
      <c r="B4239"/>
    </row>
    <row r="4240" spans="1:2">
      <c r="A4240" s="55"/>
      <c r="B4240"/>
    </row>
    <row r="4241" spans="1:2">
      <c r="A4241" s="55"/>
      <c r="B4241"/>
    </row>
    <row r="4242" spans="1:2">
      <c r="A4242" s="55"/>
      <c r="B4242"/>
    </row>
    <row r="4243" spans="1:2">
      <c r="A4243" s="55"/>
      <c r="B4243"/>
    </row>
    <row r="4244" spans="1:2">
      <c r="A4244" s="55"/>
      <c r="B4244"/>
    </row>
    <row r="4245" spans="1:2">
      <c r="A4245" s="55"/>
      <c r="B4245"/>
    </row>
    <row r="4246" spans="1:2">
      <c r="A4246" s="55"/>
      <c r="B4246"/>
    </row>
    <row r="4247" spans="1:2">
      <c r="A4247" s="55"/>
      <c r="B4247"/>
    </row>
    <row r="4248" spans="1:2">
      <c r="A4248" s="55"/>
      <c r="B4248"/>
    </row>
    <row r="4249" spans="1:2">
      <c r="A4249" s="55"/>
      <c r="B4249"/>
    </row>
    <row r="4250" spans="1:2">
      <c r="A4250" s="55"/>
      <c r="B4250"/>
    </row>
    <row r="4251" spans="1:2">
      <c r="A4251" s="55"/>
      <c r="B4251"/>
    </row>
    <row r="4252" spans="1:2">
      <c r="A4252" s="55"/>
      <c r="B4252"/>
    </row>
    <row r="4253" spans="1:2">
      <c r="A4253" s="55"/>
      <c r="B4253"/>
    </row>
    <row r="4254" spans="1:2">
      <c r="A4254" s="55"/>
      <c r="B4254"/>
    </row>
    <row r="4255" spans="1:2">
      <c r="A4255" s="55"/>
      <c r="B4255"/>
    </row>
    <row r="4256" spans="1:2">
      <c r="A4256" s="55"/>
      <c r="B4256"/>
    </row>
    <row r="4257" spans="1:2">
      <c r="A4257" s="55"/>
      <c r="B4257"/>
    </row>
    <row r="4258" spans="1:2">
      <c r="A4258" s="55"/>
      <c r="B4258"/>
    </row>
    <row r="4259" spans="1:2">
      <c r="A4259" s="55"/>
      <c r="B4259"/>
    </row>
    <row r="4260" spans="1:2">
      <c r="A4260" s="55"/>
      <c r="B4260"/>
    </row>
    <row r="4261" spans="1:2">
      <c r="A4261" s="55"/>
      <c r="B4261"/>
    </row>
    <row r="4262" spans="1:2">
      <c r="A4262" s="55"/>
      <c r="B4262"/>
    </row>
    <row r="4263" spans="1:2">
      <c r="A4263" s="55"/>
      <c r="B4263"/>
    </row>
    <row r="4264" spans="1:2">
      <c r="A4264" s="55"/>
      <c r="B4264"/>
    </row>
    <row r="4265" spans="1:2">
      <c r="A4265" s="55"/>
      <c r="B4265"/>
    </row>
    <row r="4266" spans="1:2">
      <c r="A4266" s="55"/>
      <c r="B4266"/>
    </row>
    <row r="4267" spans="1:2">
      <c r="A4267" s="55"/>
      <c r="B4267"/>
    </row>
    <row r="4268" spans="1:2">
      <c r="A4268" s="55"/>
      <c r="B4268"/>
    </row>
    <row r="4269" spans="1:2">
      <c r="A4269" s="55"/>
      <c r="B4269"/>
    </row>
    <row r="4270" spans="1:2">
      <c r="A4270" s="55"/>
      <c r="B4270"/>
    </row>
    <row r="4271" spans="1:2">
      <c r="A4271" s="55"/>
      <c r="B4271"/>
    </row>
    <row r="4272" spans="1:2">
      <c r="A4272" s="55"/>
      <c r="B4272"/>
    </row>
    <row r="4273" spans="1:2">
      <c r="A4273" s="55"/>
      <c r="B4273"/>
    </row>
    <row r="4274" spans="1:2">
      <c r="A4274" s="55"/>
      <c r="B4274"/>
    </row>
    <row r="4275" spans="1:2">
      <c r="A4275" s="55"/>
      <c r="B4275"/>
    </row>
    <row r="4276" spans="1:2">
      <c r="A4276" s="55"/>
      <c r="B4276"/>
    </row>
    <row r="4277" spans="1:2">
      <c r="A4277" s="55"/>
      <c r="B4277"/>
    </row>
    <row r="4278" spans="1:2">
      <c r="A4278" s="55"/>
      <c r="B4278"/>
    </row>
    <row r="4279" spans="1:2">
      <c r="A4279" s="55"/>
      <c r="B4279"/>
    </row>
    <row r="4280" spans="1:2">
      <c r="A4280" s="55"/>
      <c r="B4280"/>
    </row>
    <row r="4281" spans="1:2">
      <c r="A4281" s="55"/>
      <c r="B4281"/>
    </row>
    <row r="4282" spans="1:2">
      <c r="A4282" s="55"/>
      <c r="B4282"/>
    </row>
    <row r="4283" spans="1:2">
      <c r="A4283" s="55"/>
      <c r="B4283"/>
    </row>
    <row r="4284" spans="1:2">
      <c r="A4284" s="55"/>
      <c r="B4284"/>
    </row>
    <row r="4285" spans="1:2">
      <c r="A4285" s="55"/>
      <c r="B4285"/>
    </row>
    <row r="4286" spans="1:2">
      <c r="A4286" s="55"/>
      <c r="B4286"/>
    </row>
    <row r="4287" spans="1:2">
      <c r="A4287" s="55"/>
      <c r="B4287"/>
    </row>
    <row r="4288" spans="1:2">
      <c r="A4288" s="55"/>
      <c r="B4288"/>
    </row>
    <row r="4289" spans="1:2">
      <c r="A4289" s="55"/>
      <c r="B4289"/>
    </row>
    <row r="4290" spans="1:2">
      <c r="A4290" s="55"/>
      <c r="B4290"/>
    </row>
    <row r="4291" spans="1:2">
      <c r="A4291" s="55"/>
      <c r="B4291"/>
    </row>
    <row r="4292" spans="1:2">
      <c r="A4292" s="55"/>
      <c r="B4292"/>
    </row>
    <row r="4293" spans="1:2">
      <c r="A4293" s="55"/>
      <c r="B4293"/>
    </row>
    <row r="4294" spans="1:2">
      <c r="A4294" s="55"/>
      <c r="B4294"/>
    </row>
    <row r="4295" spans="1:2">
      <c r="A4295" s="55"/>
      <c r="B4295"/>
    </row>
    <row r="4296" spans="1:2">
      <c r="A4296" s="55"/>
      <c r="B4296"/>
    </row>
    <row r="4297" spans="1:2">
      <c r="A4297" s="55"/>
      <c r="B4297"/>
    </row>
    <row r="4298" spans="1:2">
      <c r="A4298" s="55"/>
      <c r="B4298"/>
    </row>
    <row r="4299" spans="1:2">
      <c r="A4299" s="55"/>
      <c r="B4299"/>
    </row>
    <row r="4300" spans="1:2">
      <c r="A4300" s="55"/>
      <c r="B4300"/>
    </row>
    <row r="4301" spans="1:2">
      <c r="A4301" s="55"/>
      <c r="B4301"/>
    </row>
    <row r="4302" spans="1:2">
      <c r="A4302" s="55"/>
      <c r="B4302"/>
    </row>
    <row r="4303" spans="1:2">
      <c r="A4303" s="55"/>
      <c r="B4303"/>
    </row>
    <row r="4304" spans="1:2">
      <c r="A4304" s="55"/>
      <c r="B4304"/>
    </row>
    <row r="4305" spans="1:2">
      <c r="A4305" s="55"/>
      <c r="B4305"/>
    </row>
    <row r="4306" spans="1:2">
      <c r="A4306" s="55"/>
      <c r="B4306"/>
    </row>
    <row r="4307" spans="1:2">
      <c r="A4307" s="55"/>
      <c r="B4307"/>
    </row>
    <row r="4308" spans="1:2">
      <c r="A4308" s="55"/>
      <c r="B4308"/>
    </row>
    <row r="4309" spans="1:2">
      <c r="A4309" s="55"/>
      <c r="B4309"/>
    </row>
    <row r="4310" spans="1:2">
      <c r="A4310" s="55"/>
      <c r="B4310"/>
    </row>
    <row r="4311" spans="1:2">
      <c r="A4311" s="55"/>
      <c r="B4311"/>
    </row>
    <row r="4312" spans="1:2">
      <c r="A4312" s="55"/>
      <c r="B4312"/>
    </row>
    <row r="4313" spans="1:2">
      <c r="A4313" s="55"/>
      <c r="B4313"/>
    </row>
    <row r="4314" spans="1:2">
      <c r="A4314" s="55"/>
      <c r="B4314"/>
    </row>
    <row r="4315" spans="1:2">
      <c r="A4315" s="55"/>
      <c r="B4315"/>
    </row>
    <row r="4316" spans="1:2">
      <c r="A4316" s="55"/>
      <c r="B4316"/>
    </row>
    <row r="4317" spans="1:2">
      <c r="A4317" s="55"/>
      <c r="B4317"/>
    </row>
    <row r="4318" spans="1:2">
      <c r="A4318" s="55"/>
      <c r="B4318"/>
    </row>
    <row r="4319" spans="1:2">
      <c r="A4319" s="55"/>
      <c r="B4319"/>
    </row>
    <row r="4320" spans="1:2">
      <c r="A4320" s="55"/>
      <c r="B4320"/>
    </row>
    <row r="4321" spans="1:2">
      <c r="A4321" s="55"/>
      <c r="B4321"/>
    </row>
    <row r="4322" spans="1:2">
      <c r="A4322" s="55"/>
      <c r="B4322"/>
    </row>
    <row r="4323" spans="1:2">
      <c r="A4323" s="55"/>
      <c r="B4323"/>
    </row>
    <row r="4324" spans="1:2">
      <c r="A4324" s="55"/>
      <c r="B4324"/>
    </row>
    <row r="4325" spans="1:2">
      <c r="A4325" s="55"/>
      <c r="B4325"/>
    </row>
    <row r="4326" spans="1:2">
      <c r="A4326" s="55"/>
      <c r="B4326"/>
    </row>
    <row r="4327" spans="1:2">
      <c r="A4327" s="55"/>
      <c r="B4327"/>
    </row>
    <row r="4328" spans="1:2">
      <c r="A4328" s="55"/>
      <c r="B4328"/>
    </row>
    <row r="4329" spans="1:2">
      <c r="A4329" s="55"/>
      <c r="B4329"/>
    </row>
    <row r="4330" spans="1:2">
      <c r="A4330" s="55"/>
      <c r="B4330"/>
    </row>
    <row r="4331" spans="1:2">
      <c r="A4331" s="55"/>
      <c r="B4331"/>
    </row>
    <row r="4332" spans="1:2">
      <c r="A4332" s="55"/>
      <c r="B4332"/>
    </row>
    <row r="4333" spans="1:2">
      <c r="A4333" s="55"/>
      <c r="B4333"/>
    </row>
    <row r="4334" spans="1:2">
      <c r="A4334" s="55"/>
      <c r="B4334"/>
    </row>
    <row r="4335" spans="1:2">
      <c r="A4335" s="55"/>
      <c r="B4335"/>
    </row>
    <row r="4336" spans="1:2">
      <c r="A4336" s="55"/>
      <c r="B4336"/>
    </row>
    <row r="4337" spans="1:2">
      <c r="A4337" s="55"/>
      <c r="B4337"/>
    </row>
    <row r="4338" spans="1:2">
      <c r="A4338" s="55"/>
      <c r="B4338"/>
    </row>
    <row r="4339" spans="1:2">
      <c r="A4339" s="55"/>
      <c r="B4339"/>
    </row>
    <row r="4340" spans="1:2">
      <c r="A4340" s="55"/>
      <c r="B4340"/>
    </row>
    <row r="4341" spans="1:2">
      <c r="A4341" s="55"/>
      <c r="B4341"/>
    </row>
    <row r="4342" spans="1:2">
      <c r="A4342" s="55"/>
      <c r="B4342"/>
    </row>
    <row r="4343" spans="1:2">
      <c r="A4343" s="55"/>
      <c r="B4343"/>
    </row>
    <row r="4344" spans="1:2">
      <c r="A4344" s="55"/>
      <c r="B4344"/>
    </row>
    <row r="4345" spans="1:2">
      <c r="A4345" s="55"/>
      <c r="B4345"/>
    </row>
    <row r="4346" spans="1:2">
      <c r="A4346" s="55"/>
      <c r="B4346"/>
    </row>
    <row r="4347" spans="1:2">
      <c r="A4347" s="55"/>
      <c r="B4347"/>
    </row>
    <row r="4348" spans="1:2">
      <c r="A4348" s="55"/>
      <c r="B4348"/>
    </row>
    <row r="4349" spans="1:2">
      <c r="A4349" s="55"/>
      <c r="B4349"/>
    </row>
    <row r="4350" spans="1:2">
      <c r="A4350" s="55"/>
      <c r="B4350"/>
    </row>
    <row r="4351" spans="1:2">
      <c r="A4351" s="55"/>
      <c r="B4351"/>
    </row>
    <row r="4352" spans="1:2">
      <c r="A4352" s="55"/>
      <c r="B4352"/>
    </row>
    <row r="4353" spans="1:2">
      <c r="A4353" s="55"/>
      <c r="B4353"/>
    </row>
    <row r="4354" spans="1:2">
      <c r="A4354" s="55"/>
      <c r="B4354"/>
    </row>
    <row r="4355" spans="1:2">
      <c r="A4355" s="55"/>
      <c r="B4355"/>
    </row>
    <row r="4356" spans="1:2">
      <c r="A4356" s="55"/>
      <c r="B4356"/>
    </row>
    <row r="4357" spans="1:2">
      <c r="A4357" s="55"/>
      <c r="B4357"/>
    </row>
    <row r="4358" spans="1:2">
      <c r="A4358" s="55"/>
      <c r="B4358"/>
    </row>
    <row r="4359" spans="1:2">
      <c r="A4359" s="55"/>
      <c r="B4359"/>
    </row>
    <row r="4360" spans="1:2">
      <c r="A4360" s="55"/>
      <c r="B4360"/>
    </row>
    <row r="4361" spans="1:2">
      <c r="A4361" s="55"/>
      <c r="B4361"/>
    </row>
    <row r="4362" spans="1:2">
      <c r="A4362" s="55"/>
      <c r="B4362"/>
    </row>
    <row r="4363" spans="1:2">
      <c r="A4363" s="55"/>
      <c r="B4363"/>
    </row>
    <row r="4364" spans="1:2">
      <c r="A4364" s="55"/>
      <c r="B4364"/>
    </row>
    <row r="4365" spans="1:2">
      <c r="A4365" s="55"/>
      <c r="B4365"/>
    </row>
    <row r="4366" spans="1:2">
      <c r="A4366" s="55"/>
      <c r="B4366"/>
    </row>
    <row r="4367" spans="1:2">
      <c r="A4367" s="55"/>
      <c r="B4367"/>
    </row>
    <row r="4368" spans="1:2">
      <c r="A4368" s="55"/>
      <c r="B4368"/>
    </row>
    <row r="4369" spans="1:2">
      <c r="A4369" s="55"/>
      <c r="B4369"/>
    </row>
    <row r="4370" spans="1:2">
      <c r="A4370" s="55"/>
      <c r="B4370"/>
    </row>
    <row r="4371" spans="1:2">
      <c r="A4371" s="55"/>
      <c r="B4371"/>
    </row>
    <row r="4372" spans="1:2">
      <c r="A4372" s="55"/>
      <c r="B4372"/>
    </row>
    <row r="4373" spans="1:2">
      <c r="A4373" s="55"/>
      <c r="B4373"/>
    </row>
    <row r="4374" spans="1:2">
      <c r="A4374" s="55"/>
      <c r="B4374"/>
    </row>
    <row r="4375" spans="1:2">
      <c r="A4375" s="55"/>
      <c r="B4375"/>
    </row>
    <row r="4376" spans="1:2">
      <c r="A4376" s="55"/>
      <c r="B4376"/>
    </row>
    <row r="4377" spans="1:2">
      <c r="A4377" s="55"/>
      <c r="B4377"/>
    </row>
    <row r="4378" spans="1:2">
      <c r="A4378" s="55"/>
      <c r="B4378"/>
    </row>
    <row r="4379" spans="1:2">
      <c r="A4379" s="55"/>
      <c r="B4379"/>
    </row>
    <row r="4380" spans="1:2">
      <c r="A4380" s="55"/>
      <c r="B4380"/>
    </row>
    <row r="4381" spans="1:2">
      <c r="A4381" s="55"/>
      <c r="B4381"/>
    </row>
    <row r="4382" spans="1:2">
      <c r="A4382" s="55"/>
      <c r="B4382"/>
    </row>
    <row r="4383" spans="1:2">
      <c r="A4383" s="55"/>
      <c r="B4383"/>
    </row>
    <row r="4384" spans="1:2">
      <c r="A4384" s="55"/>
      <c r="B4384"/>
    </row>
    <row r="4385" spans="1:2">
      <c r="A4385" s="55"/>
      <c r="B4385"/>
    </row>
    <row r="4386" spans="1:2">
      <c r="A4386" s="55"/>
      <c r="B4386"/>
    </row>
    <row r="4387" spans="1:2">
      <c r="A4387" s="55"/>
      <c r="B4387"/>
    </row>
    <row r="4388" spans="1:2">
      <c r="A4388" s="55"/>
      <c r="B4388"/>
    </row>
    <row r="4389" spans="1:2">
      <c r="A4389" s="55"/>
      <c r="B4389"/>
    </row>
    <row r="4390" spans="1:2">
      <c r="A4390" s="55"/>
      <c r="B4390"/>
    </row>
    <row r="4391" spans="1:2">
      <c r="A4391" s="55"/>
      <c r="B4391"/>
    </row>
    <row r="4392" spans="1:2">
      <c r="A4392" s="55"/>
      <c r="B4392"/>
    </row>
    <row r="4393" spans="1:2">
      <c r="A4393" s="55"/>
      <c r="B4393"/>
    </row>
    <row r="4394" spans="1:2">
      <c r="A4394" s="55"/>
      <c r="B4394"/>
    </row>
    <row r="4395" spans="1:2">
      <c r="A4395" s="55"/>
      <c r="B4395"/>
    </row>
    <row r="4396" spans="1:2">
      <c r="A4396" s="55"/>
      <c r="B4396"/>
    </row>
    <row r="4397" spans="1:2">
      <c r="A4397" s="55"/>
      <c r="B4397"/>
    </row>
    <row r="4398" spans="1:2">
      <c r="A4398" s="55"/>
      <c r="B4398"/>
    </row>
    <row r="4399" spans="1:2">
      <c r="A4399" s="55"/>
      <c r="B4399"/>
    </row>
    <row r="4400" spans="1:2">
      <c r="A4400" s="55"/>
      <c r="B4400"/>
    </row>
    <row r="4401" spans="1:2">
      <c r="A4401" s="55"/>
      <c r="B4401"/>
    </row>
    <row r="4402" spans="1:2">
      <c r="A4402" s="55"/>
      <c r="B4402"/>
    </row>
    <row r="4403" spans="1:2">
      <c r="A4403" s="55"/>
      <c r="B4403"/>
    </row>
    <row r="4404" spans="1:2">
      <c r="A4404" s="55"/>
      <c r="B4404"/>
    </row>
    <row r="4405" spans="1:2">
      <c r="A4405" s="55"/>
      <c r="B4405"/>
    </row>
    <row r="4406" spans="1:2">
      <c r="A4406" s="55"/>
      <c r="B4406"/>
    </row>
    <row r="4407" spans="1:2">
      <c r="A4407" s="55"/>
      <c r="B4407"/>
    </row>
    <row r="4408" spans="1:2">
      <c r="A4408" s="55"/>
      <c r="B4408"/>
    </row>
    <row r="4409" spans="1:2">
      <c r="A4409" s="55"/>
      <c r="B4409"/>
    </row>
    <row r="4410" spans="1:2">
      <c r="A4410" s="55"/>
      <c r="B4410"/>
    </row>
    <row r="4411" spans="1:2">
      <c r="A4411" s="55"/>
      <c r="B4411"/>
    </row>
    <row r="4412" spans="1:2">
      <c r="A4412" s="55"/>
      <c r="B4412"/>
    </row>
    <row r="4413" spans="1:2">
      <c r="A4413" s="55"/>
      <c r="B4413"/>
    </row>
    <row r="4414" spans="1:2">
      <c r="A4414" s="55"/>
      <c r="B4414"/>
    </row>
    <row r="4415" spans="1:2">
      <c r="A4415" s="55"/>
      <c r="B4415"/>
    </row>
    <row r="4416" spans="1:2">
      <c r="A4416" s="55"/>
      <c r="B4416"/>
    </row>
    <row r="4417" spans="1:2">
      <c r="A4417" s="55"/>
      <c r="B4417"/>
    </row>
    <row r="4418" spans="1:2">
      <c r="A4418" s="55"/>
      <c r="B4418"/>
    </row>
    <row r="4419" spans="1:2">
      <c r="A4419" s="55"/>
      <c r="B4419"/>
    </row>
    <row r="4420" spans="1:2">
      <c r="A4420" s="55"/>
      <c r="B4420"/>
    </row>
    <row r="4421" spans="1:2">
      <c r="A4421" s="55"/>
      <c r="B4421"/>
    </row>
    <row r="4422" spans="1:2">
      <c r="A4422" s="55"/>
      <c r="B4422"/>
    </row>
    <row r="4423" spans="1:2">
      <c r="A4423" s="55"/>
      <c r="B4423"/>
    </row>
    <row r="4424" spans="1:2">
      <c r="A4424" s="55"/>
      <c r="B4424"/>
    </row>
    <row r="4425" spans="1:2">
      <c r="A4425" s="55"/>
      <c r="B4425"/>
    </row>
    <row r="4426" spans="1:2">
      <c r="A4426" s="55"/>
      <c r="B4426"/>
    </row>
    <row r="4427" spans="1:2">
      <c r="A4427" s="55"/>
      <c r="B4427"/>
    </row>
    <row r="4428" spans="1:2">
      <c r="A4428" s="55"/>
      <c r="B4428"/>
    </row>
    <row r="4429" spans="1:2">
      <c r="A4429" s="55"/>
      <c r="B4429"/>
    </row>
    <row r="4430" spans="1:2">
      <c r="A4430" s="55"/>
      <c r="B4430"/>
    </row>
    <row r="4431" spans="1:2">
      <c r="A4431" s="55"/>
      <c r="B4431"/>
    </row>
    <row r="4432" spans="1:2">
      <c r="A4432" s="55"/>
      <c r="B4432"/>
    </row>
    <row r="4433" spans="1:2">
      <c r="A4433" s="55"/>
      <c r="B4433"/>
    </row>
    <row r="4434" spans="1:2">
      <c r="A4434" s="55"/>
      <c r="B4434"/>
    </row>
    <row r="4435" spans="1:2">
      <c r="A4435" s="55"/>
      <c r="B4435"/>
    </row>
    <row r="4436" spans="1:2">
      <c r="A4436" s="55"/>
      <c r="B4436"/>
    </row>
    <row r="4437" spans="1:2">
      <c r="A4437" s="55"/>
      <c r="B4437"/>
    </row>
    <row r="4438" spans="1:2">
      <c r="A4438" s="55"/>
      <c r="B4438"/>
    </row>
    <row r="4439" spans="1:2">
      <c r="A4439" s="55"/>
      <c r="B4439"/>
    </row>
    <row r="4440" spans="1:2">
      <c r="A4440" s="55"/>
      <c r="B4440"/>
    </row>
    <row r="4441" spans="1:2">
      <c r="A4441" s="55"/>
      <c r="B4441"/>
    </row>
    <row r="4442" spans="1:2">
      <c r="A4442" s="55"/>
      <c r="B4442"/>
    </row>
    <row r="4443" spans="1:2">
      <c r="A4443" s="55"/>
      <c r="B4443"/>
    </row>
    <row r="4444" spans="1:2">
      <c r="A4444" s="55"/>
      <c r="B4444"/>
    </row>
    <row r="4445" spans="1:2">
      <c r="A4445" s="55"/>
      <c r="B4445"/>
    </row>
    <row r="4446" spans="1:2">
      <c r="A4446" s="55"/>
      <c r="B4446"/>
    </row>
    <row r="4447" spans="1:2">
      <c r="A4447" s="55"/>
      <c r="B4447"/>
    </row>
    <row r="4448" spans="1:2">
      <c r="A4448" s="55"/>
      <c r="B4448"/>
    </row>
    <row r="4449" spans="1:2">
      <c r="A4449" s="55"/>
      <c r="B4449"/>
    </row>
    <row r="4450" spans="1:2">
      <c r="A4450" s="55"/>
      <c r="B4450"/>
    </row>
    <row r="4451" spans="1:2">
      <c r="A4451" s="55"/>
      <c r="B4451"/>
    </row>
    <row r="4452" spans="1:2">
      <c r="A4452" s="55"/>
      <c r="B4452"/>
    </row>
    <row r="4453" spans="1:2">
      <c r="A4453" s="55"/>
      <c r="B4453"/>
    </row>
    <row r="4454" spans="1:2">
      <c r="A4454" s="55"/>
      <c r="B4454"/>
    </row>
    <row r="4455" spans="1:2">
      <c r="A4455" s="55"/>
      <c r="B4455"/>
    </row>
    <row r="4456" spans="1:2">
      <c r="A4456" s="55"/>
      <c r="B4456"/>
    </row>
    <row r="4457" spans="1:2">
      <c r="A4457" s="55"/>
      <c r="B4457"/>
    </row>
    <row r="4458" spans="1:2">
      <c r="A4458" s="55"/>
      <c r="B4458"/>
    </row>
    <row r="4459" spans="1:2">
      <c r="A4459" s="55"/>
      <c r="B4459"/>
    </row>
    <row r="4460" spans="1:2">
      <c r="A4460" s="55"/>
      <c r="B4460"/>
    </row>
    <row r="4461" spans="1:2">
      <c r="A4461" s="55"/>
      <c r="B4461"/>
    </row>
    <row r="4462" spans="1:2">
      <c r="A4462" s="55"/>
      <c r="B4462"/>
    </row>
    <row r="4463" spans="1:2">
      <c r="A4463" s="55"/>
      <c r="B4463"/>
    </row>
    <row r="4464" spans="1:2">
      <c r="A4464" s="55"/>
      <c r="B4464"/>
    </row>
    <row r="4465" spans="1:2">
      <c r="A4465" s="55"/>
      <c r="B4465"/>
    </row>
    <row r="4466" spans="1:2">
      <c r="A4466" s="55"/>
      <c r="B4466"/>
    </row>
    <row r="4467" spans="1:2">
      <c r="A4467" s="55"/>
      <c r="B4467"/>
    </row>
    <row r="4468" spans="1:2">
      <c r="A4468" s="55"/>
      <c r="B4468"/>
    </row>
    <row r="4469" spans="1:2">
      <c r="A4469" s="55"/>
      <c r="B4469"/>
    </row>
    <row r="4470" spans="1:2">
      <c r="A4470" s="55"/>
      <c r="B4470"/>
    </row>
    <row r="4471" spans="1:2">
      <c r="A4471" s="55"/>
      <c r="B4471"/>
    </row>
    <row r="4472" spans="1:2">
      <c r="A4472" s="55"/>
      <c r="B4472"/>
    </row>
    <row r="4473" spans="1:2">
      <c r="A4473" s="55"/>
      <c r="B4473"/>
    </row>
    <row r="4474" spans="1:2">
      <c r="A4474" s="55"/>
      <c r="B4474"/>
    </row>
    <row r="4475" spans="1:2">
      <c r="A4475" s="55"/>
      <c r="B4475"/>
    </row>
    <row r="4476" spans="1:2">
      <c r="A4476" s="55"/>
      <c r="B4476"/>
    </row>
    <row r="4477" spans="1:2">
      <c r="A4477" s="55"/>
      <c r="B4477"/>
    </row>
    <row r="4478" spans="1:2">
      <c r="A4478" s="55"/>
      <c r="B4478"/>
    </row>
    <row r="4479" spans="1:2">
      <c r="A4479" s="55"/>
      <c r="B4479"/>
    </row>
    <row r="4480" spans="1:2">
      <c r="A4480" s="55"/>
      <c r="B4480"/>
    </row>
    <row r="4481" spans="1:2">
      <c r="A4481" s="55"/>
      <c r="B4481"/>
    </row>
    <row r="4482" spans="1:2">
      <c r="A4482" s="55"/>
      <c r="B4482"/>
    </row>
    <row r="4483" spans="1:2">
      <c r="A4483" s="55"/>
      <c r="B4483"/>
    </row>
    <row r="4484" spans="1:2">
      <c r="A4484" s="55"/>
      <c r="B4484"/>
    </row>
    <row r="4485" spans="1:2">
      <c r="A4485" s="55"/>
      <c r="B4485"/>
    </row>
    <row r="4486" spans="1:2">
      <c r="A4486" s="55"/>
      <c r="B4486"/>
    </row>
    <row r="4487" spans="1:2">
      <c r="A4487" s="55"/>
      <c r="B4487"/>
    </row>
    <row r="4488" spans="1:2">
      <c r="A4488" s="55"/>
      <c r="B4488"/>
    </row>
    <row r="4489" spans="1:2">
      <c r="A4489" s="55"/>
      <c r="B4489"/>
    </row>
    <row r="4490" spans="1:2">
      <c r="A4490" s="55"/>
      <c r="B4490"/>
    </row>
    <row r="4491" spans="1:2">
      <c r="A4491" s="55"/>
      <c r="B4491"/>
    </row>
    <row r="4492" spans="1:2">
      <c r="A4492" s="55"/>
      <c r="B4492"/>
    </row>
    <row r="4493" spans="1:2">
      <c r="A4493" s="55"/>
      <c r="B4493"/>
    </row>
    <row r="4494" spans="1:2">
      <c r="A4494" s="55"/>
      <c r="B4494"/>
    </row>
    <row r="4495" spans="1:2">
      <c r="A4495" s="55"/>
      <c r="B4495"/>
    </row>
    <row r="4496" spans="1:2">
      <c r="A4496" s="55"/>
      <c r="B4496"/>
    </row>
    <row r="4497" spans="1:2">
      <c r="A4497" s="55"/>
      <c r="B4497"/>
    </row>
    <row r="4498" spans="1:2">
      <c r="A4498" s="55"/>
      <c r="B4498"/>
    </row>
    <row r="4499" spans="1:2">
      <c r="A4499" s="55"/>
      <c r="B4499"/>
    </row>
    <row r="4500" spans="1:2">
      <c r="A4500" s="55"/>
      <c r="B4500"/>
    </row>
    <row r="4501" spans="1:2">
      <c r="A4501" s="55"/>
      <c r="B4501"/>
    </row>
    <row r="4502" spans="1:2">
      <c r="A4502" s="55"/>
      <c r="B4502"/>
    </row>
    <row r="4503" spans="1:2">
      <c r="A4503" s="55"/>
      <c r="B4503"/>
    </row>
    <row r="4504" spans="1:2">
      <c r="A4504" s="55"/>
      <c r="B4504"/>
    </row>
    <row r="4505" spans="1:2">
      <c r="A4505" s="55"/>
      <c r="B4505"/>
    </row>
    <row r="4506" spans="1:2">
      <c r="A4506" s="55"/>
      <c r="B4506"/>
    </row>
    <row r="4507" spans="1:2">
      <c r="A4507" s="55"/>
      <c r="B4507"/>
    </row>
    <row r="4508" spans="1:2">
      <c r="A4508" s="55"/>
      <c r="B4508"/>
    </row>
    <row r="4509" spans="1:2">
      <c r="A4509" s="55"/>
      <c r="B4509"/>
    </row>
    <row r="4510" spans="1:2">
      <c r="A4510" s="55"/>
      <c r="B4510"/>
    </row>
    <row r="4511" spans="1:2">
      <c r="A4511" s="55"/>
      <c r="B4511"/>
    </row>
    <row r="4512" spans="1:2">
      <c r="A4512" s="55"/>
      <c r="B4512"/>
    </row>
    <row r="4513" spans="1:2">
      <c r="A4513" s="55"/>
      <c r="B4513"/>
    </row>
    <row r="4514" spans="1:2">
      <c r="A4514" s="55"/>
      <c r="B4514"/>
    </row>
    <row r="4515" spans="1:2">
      <c r="A4515" s="55"/>
      <c r="B4515"/>
    </row>
    <row r="4516" spans="1:2">
      <c r="A4516" s="55"/>
      <c r="B4516"/>
    </row>
    <row r="4517" spans="1:2">
      <c r="A4517" s="55"/>
      <c r="B4517"/>
    </row>
    <row r="4518" spans="1:2">
      <c r="A4518" s="55"/>
      <c r="B4518"/>
    </row>
    <row r="4519" spans="1:2">
      <c r="A4519" s="55"/>
      <c r="B4519"/>
    </row>
    <row r="4520" spans="1:2">
      <c r="A4520" s="55"/>
      <c r="B4520"/>
    </row>
    <row r="4521" spans="1:2">
      <c r="A4521" s="55"/>
      <c r="B4521"/>
    </row>
    <row r="4522" spans="1:2">
      <c r="A4522" s="55"/>
      <c r="B4522"/>
    </row>
    <row r="4523" spans="1:2">
      <c r="A4523" s="55"/>
      <c r="B4523"/>
    </row>
    <row r="4524" spans="1:2">
      <c r="A4524" s="55"/>
      <c r="B4524"/>
    </row>
    <row r="4525" spans="1:2">
      <c r="A4525" s="55"/>
      <c r="B4525"/>
    </row>
    <row r="4526" spans="1:2">
      <c r="A4526" s="55"/>
      <c r="B4526"/>
    </row>
    <row r="4527" spans="1:2">
      <c r="A4527" s="55"/>
      <c r="B4527"/>
    </row>
    <row r="4528" spans="1:2">
      <c r="A4528" s="55"/>
      <c r="B4528"/>
    </row>
    <row r="4529" spans="1:2">
      <c r="A4529" s="55"/>
      <c r="B4529"/>
    </row>
    <row r="4530" spans="1:2">
      <c r="A4530" s="55"/>
      <c r="B4530"/>
    </row>
    <row r="4531" spans="1:2">
      <c r="A4531" s="55"/>
      <c r="B4531"/>
    </row>
    <row r="4532" spans="1:2">
      <c r="A4532" s="55"/>
      <c r="B4532"/>
    </row>
    <row r="4533" spans="1:2">
      <c r="A4533" s="55"/>
      <c r="B4533"/>
    </row>
    <row r="4534" spans="1:2">
      <c r="A4534" s="55"/>
      <c r="B4534"/>
    </row>
    <row r="4535" spans="1:2">
      <c r="A4535" s="55"/>
      <c r="B4535"/>
    </row>
    <row r="4536" spans="1:2">
      <c r="A4536" s="55"/>
      <c r="B4536"/>
    </row>
    <row r="4537" spans="1:2">
      <c r="A4537" s="55"/>
      <c r="B4537"/>
    </row>
    <row r="4538" spans="1:2">
      <c r="A4538" s="55"/>
      <c r="B4538"/>
    </row>
    <row r="4539" spans="1:2">
      <c r="A4539" s="55"/>
      <c r="B4539"/>
    </row>
    <row r="4540" spans="1:2">
      <c r="A4540" s="55"/>
      <c r="B4540"/>
    </row>
    <row r="4541" spans="1:2">
      <c r="A4541" s="55"/>
      <c r="B4541"/>
    </row>
    <row r="4542" spans="1:2">
      <c r="A4542" s="55"/>
      <c r="B4542"/>
    </row>
    <row r="4543" spans="1:2">
      <c r="A4543" s="55"/>
      <c r="B4543"/>
    </row>
    <row r="4544" spans="1:2">
      <c r="A4544" s="55"/>
      <c r="B4544"/>
    </row>
    <row r="4545" spans="1:2">
      <c r="A4545" s="55"/>
      <c r="B4545"/>
    </row>
    <row r="4546" spans="1:2">
      <c r="A4546" s="55"/>
      <c r="B4546"/>
    </row>
    <row r="4547" spans="1:2">
      <c r="A4547" s="55"/>
      <c r="B4547"/>
    </row>
    <row r="4548" spans="1:2">
      <c r="A4548" s="55"/>
      <c r="B4548"/>
    </row>
    <row r="4549" spans="1:2">
      <c r="A4549" s="55"/>
      <c r="B4549"/>
    </row>
    <row r="4550" spans="1:2">
      <c r="A4550" s="55"/>
      <c r="B4550"/>
    </row>
    <row r="4551" spans="1:2">
      <c r="A4551" s="55"/>
      <c r="B4551"/>
    </row>
    <row r="4552" spans="1:2">
      <c r="A4552" s="55"/>
      <c r="B4552"/>
    </row>
    <row r="4553" spans="1:2">
      <c r="A4553" s="55"/>
      <c r="B4553"/>
    </row>
    <row r="4554" spans="1:2">
      <c r="A4554" s="55"/>
      <c r="B4554"/>
    </row>
    <row r="4555" spans="1:2">
      <c r="A4555" s="55"/>
      <c r="B4555"/>
    </row>
    <row r="4556" spans="1:2">
      <c r="A4556" s="55"/>
      <c r="B4556"/>
    </row>
    <row r="4557" spans="1:2">
      <c r="A4557" s="55"/>
      <c r="B4557"/>
    </row>
    <row r="4558" spans="1:2">
      <c r="A4558" s="55"/>
      <c r="B4558"/>
    </row>
    <row r="4559" spans="1:2">
      <c r="A4559" s="55"/>
      <c r="B4559"/>
    </row>
    <row r="4560" spans="1:2">
      <c r="A4560" s="55"/>
      <c r="B4560"/>
    </row>
    <row r="4561" spans="1:2">
      <c r="A4561" s="55"/>
      <c r="B4561"/>
    </row>
    <row r="4562" spans="1:2">
      <c r="A4562" s="55"/>
      <c r="B4562"/>
    </row>
    <row r="4563" spans="1:2">
      <c r="A4563" s="55"/>
      <c r="B4563"/>
    </row>
    <row r="4564" spans="1:2">
      <c r="A4564" s="55"/>
      <c r="B4564"/>
    </row>
    <row r="4565" spans="1:2">
      <c r="A4565" s="55"/>
      <c r="B4565"/>
    </row>
    <row r="4566" spans="1:2">
      <c r="A4566" s="55"/>
      <c r="B4566"/>
    </row>
    <row r="4567" spans="1:2">
      <c r="A4567" s="55"/>
      <c r="B4567"/>
    </row>
    <row r="4568" spans="1:2">
      <c r="A4568" s="55"/>
      <c r="B4568"/>
    </row>
    <row r="4569" spans="1:2">
      <c r="A4569" s="55"/>
      <c r="B4569"/>
    </row>
    <row r="4570" spans="1:2">
      <c r="A4570" s="55"/>
      <c r="B4570"/>
    </row>
    <row r="4571" spans="1:2">
      <c r="A4571" s="55"/>
      <c r="B4571"/>
    </row>
    <row r="4572" spans="1:2">
      <c r="A4572" s="55"/>
      <c r="B4572"/>
    </row>
    <row r="4573" spans="1:2">
      <c r="A4573" s="55"/>
      <c r="B4573"/>
    </row>
    <row r="4574" spans="1:2">
      <c r="A4574" s="55"/>
      <c r="B4574"/>
    </row>
    <row r="4575" spans="1:2">
      <c r="A4575" s="55"/>
      <c r="B4575"/>
    </row>
    <row r="4576" spans="1:2">
      <c r="A4576" s="55"/>
      <c r="B4576"/>
    </row>
    <row r="4577" spans="1:2">
      <c r="A4577" s="55"/>
      <c r="B4577"/>
    </row>
    <row r="4578" spans="1:2">
      <c r="A4578" s="55"/>
      <c r="B4578"/>
    </row>
    <row r="4579" spans="1:2">
      <c r="A4579" s="55"/>
      <c r="B4579"/>
    </row>
    <row r="4580" spans="1:2">
      <c r="A4580" s="55"/>
      <c r="B4580"/>
    </row>
    <row r="4581" spans="1:2">
      <c r="A4581" s="55"/>
      <c r="B4581"/>
    </row>
    <row r="4582" spans="1:2">
      <c r="A4582" s="55"/>
      <c r="B4582"/>
    </row>
    <row r="4583" spans="1:2">
      <c r="A4583" s="55"/>
      <c r="B4583"/>
    </row>
    <row r="4584" spans="1:2">
      <c r="A4584" s="55"/>
      <c r="B4584"/>
    </row>
    <row r="4585" spans="1:2">
      <c r="A4585" s="55"/>
      <c r="B4585"/>
    </row>
    <row r="4586" spans="1:2">
      <c r="A4586" s="55"/>
      <c r="B4586"/>
    </row>
    <row r="4587" spans="1:2">
      <c r="A4587" s="55"/>
      <c r="B4587"/>
    </row>
    <row r="4588" spans="1:2">
      <c r="A4588" s="55"/>
      <c r="B4588"/>
    </row>
    <row r="4589" spans="1:2">
      <c r="A4589" s="55"/>
      <c r="B4589"/>
    </row>
    <row r="4590" spans="1:2">
      <c r="A4590" s="55"/>
      <c r="B4590"/>
    </row>
    <row r="4591" spans="1:2">
      <c r="A4591" s="55"/>
      <c r="B4591"/>
    </row>
    <row r="4592" spans="1:2">
      <c r="A4592" s="55"/>
      <c r="B4592"/>
    </row>
    <row r="4593" spans="1:2">
      <c r="A4593" s="55"/>
      <c r="B4593"/>
    </row>
    <row r="4594" spans="1:2">
      <c r="A4594" s="55"/>
      <c r="B4594"/>
    </row>
    <row r="4595" spans="1:2">
      <c r="A4595" s="55"/>
      <c r="B4595"/>
    </row>
    <row r="4596" spans="1:2">
      <c r="A4596" s="55"/>
      <c r="B4596"/>
    </row>
    <row r="4597" spans="1:2">
      <c r="A4597" s="55"/>
      <c r="B4597"/>
    </row>
    <row r="4598" spans="1:2">
      <c r="A4598" s="55"/>
      <c r="B4598"/>
    </row>
    <row r="4599" spans="1:2">
      <c r="A4599" s="55"/>
      <c r="B4599"/>
    </row>
    <row r="4600" spans="1:2">
      <c r="A4600" s="55"/>
      <c r="B4600"/>
    </row>
    <row r="4601" spans="1:2">
      <c r="A4601" s="55"/>
      <c r="B4601"/>
    </row>
    <row r="4602" spans="1:2">
      <c r="A4602" s="55"/>
      <c r="B4602"/>
    </row>
    <row r="4603" spans="1:2">
      <c r="A4603" s="55"/>
      <c r="B4603"/>
    </row>
    <row r="4604" spans="1:2">
      <c r="A4604" s="55"/>
      <c r="B4604"/>
    </row>
    <row r="4605" spans="1:2">
      <c r="A4605" s="55"/>
      <c r="B4605"/>
    </row>
    <row r="4606" spans="1:2">
      <c r="A4606" s="55"/>
      <c r="B4606"/>
    </row>
    <row r="4607" spans="1:2">
      <c r="A4607" s="55"/>
      <c r="B4607"/>
    </row>
    <row r="4608" spans="1:2">
      <c r="A4608" s="55"/>
      <c r="B4608"/>
    </row>
    <row r="4609" spans="1:2">
      <c r="A4609" s="55"/>
      <c r="B4609"/>
    </row>
    <row r="4610" spans="1:2">
      <c r="A4610" s="55"/>
      <c r="B4610"/>
    </row>
    <row r="4611" spans="1:2">
      <c r="A4611" s="55"/>
      <c r="B4611"/>
    </row>
    <row r="4612" spans="1:2">
      <c r="A4612" s="55"/>
      <c r="B4612"/>
    </row>
    <row r="4613" spans="1:2">
      <c r="A4613" s="55"/>
      <c r="B4613"/>
    </row>
    <row r="4614" spans="1:2">
      <c r="A4614" s="55"/>
      <c r="B4614"/>
    </row>
    <row r="4615" spans="1:2">
      <c r="A4615" s="55"/>
      <c r="B4615"/>
    </row>
    <row r="4616" spans="1:2">
      <c r="A4616" s="55"/>
      <c r="B4616"/>
    </row>
    <row r="4617" spans="1:2">
      <c r="A4617" s="55"/>
      <c r="B4617"/>
    </row>
    <row r="4618" spans="1:2">
      <c r="A4618" s="55"/>
      <c r="B4618"/>
    </row>
    <row r="4619" spans="1:2">
      <c r="A4619" s="55"/>
      <c r="B4619"/>
    </row>
    <row r="4620" spans="1:2">
      <c r="A4620" s="55"/>
      <c r="B4620"/>
    </row>
    <row r="4621" spans="1:2">
      <c r="A4621" s="55"/>
      <c r="B4621"/>
    </row>
    <row r="4622" spans="1:2">
      <c r="A4622" s="55"/>
      <c r="B4622"/>
    </row>
    <row r="4623" spans="1:2">
      <c r="A4623" s="55"/>
      <c r="B4623"/>
    </row>
    <row r="4624" spans="1:2">
      <c r="A4624" s="55"/>
      <c r="B4624"/>
    </row>
    <row r="4625" spans="1:2">
      <c r="A4625" s="55"/>
      <c r="B4625"/>
    </row>
    <row r="4626" spans="1:2">
      <c r="A4626" s="55"/>
      <c r="B4626"/>
    </row>
    <row r="4627" spans="1:2">
      <c r="A4627" s="55"/>
      <c r="B4627"/>
    </row>
    <row r="4628" spans="1:2">
      <c r="A4628" s="55"/>
      <c r="B4628"/>
    </row>
    <row r="4629" spans="1:2">
      <c r="A4629" s="55"/>
      <c r="B4629"/>
    </row>
    <row r="4630" spans="1:2">
      <c r="A4630" s="55"/>
      <c r="B4630"/>
    </row>
    <row r="4631" spans="1:2">
      <c r="A4631" s="55"/>
      <c r="B4631"/>
    </row>
    <row r="4632" spans="1:2">
      <c r="A4632" s="55"/>
      <c r="B4632"/>
    </row>
    <row r="4633" spans="1:2">
      <c r="A4633" s="55"/>
      <c r="B4633"/>
    </row>
    <row r="4634" spans="1:2">
      <c r="A4634" s="55"/>
      <c r="B4634"/>
    </row>
    <row r="4635" spans="1:2">
      <c r="A4635" s="55"/>
      <c r="B4635"/>
    </row>
    <row r="4636" spans="1:2">
      <c r="A4636" s="55"/>
      <c r="B4636"/>
    </row>
    <row r="4637" spans="1:2">
      <c r="A4637" s="55"/>
      <c r="B4637"/>
    </row>
    <row r="4638" spans="1:2">
      <c r="A4638" s="55"/>
      <c r="B4638"/>
    </row>
    <row r="4639" spans="1:2">
      <c r="A4639" s="55"/>
      <c r="B4639"/>
    </row>
    <row r="4640" spans="1:2">
      <c r="A4640" s="55"/>
      <c r="B4640"/>
    </row>
    <row r="4641" spans="1:2">
      <c r="A4641" s="55"/>
      <c r="B4641"/>
    </row>
    <row r="4642" spans="1:2">
      <c r="A4642" s="55"/>
      <c r="B4642"/>
    </row>
    <row r="4643" spans="1:2">
      <c r="A4643" s="55"/>
      <c r="B4643"/>
    </row>
    <row r="4644" spans="1:2">
      <c r="A4644" s="55"/>
      <c r="B4644"/>
    </row>
    <row r="4645" spans="1:2">
      <c r="A4645" s="55"/>
      <c r="B4645"/>
    </row>
    <row r="4646" spans="1:2">
      <c r="A4646" s="55"/>
      <c r="B4646"/>
    </row>
    <row r="4647" spans="1:2">
      <c r="A4647" s="55"/>
      <c r="B4647"/>
    </row>
    <row r="4648" spans="1:2">
      <c r="A4648" s="55"/>
      <c r="B4648"/>
    </row>
    <row r="4649" spans="1:2">
      <c r="A4649" s="55"/>
      <c r="B4649"/>
    </row>
    <row r="4650" spans="1:2">
      <c r="A4650" s="55"/>
      <c r="B4650"/>
    </row>
    <row r="4651" spans="1:2">
      <c r="A4651" s="55"/>
      <c r="B4651"/>
    </row>
    <row r="4652" spans="1:2">
      <c r="A4652" s="55"/>
      <c r="B4652"/>
    </row>
    <row r="4653" spans="1:2">
      <c r="A4653" s="55"/>
      <c r="B4653"/>
    </row>
    <row r="4654" spans="1:2">
      <c r="A4654" s="55"/>
      <c r="B4654"/>
    </row>
    <row r="4655" spans="1:2">
      <c r="A4655" s="55"/>
      <c r="B4655"/>
    </row>
    <row r="4656" spans="1:2">
      <c r="A4656" s="55"/>
      <c r="B4656"/>
    </row>
    <row r="4657" spans="1:2">
      <c r="A4657" s="55"/>
      <c r="B4657"/>
    </row>
    <row r="4658" spans="1:2">
      <c r="A4658" s="55"/>
      <c r="B4658"/>
    </row>
    <row r="4659" spans="1:2">
      <c r="A4659" s="55"/>
      <c r="B4659"/>
    </row>
    <row r="4660" spans="1:2">
      <c r="A4660" s="55"/>
      <c r="B4660"/>
    </row>
    <row r="4661" spans="1:2">
      <c r="A4661" s="55"/>
      <c r="B4661"/>
    </row>
    <row r="4662" spans="1:2">
      <c r="A4662" s="55"/>
      <c r="B4662"/>
    </row>
    <row r="4663" spans="1:2">
      <c r="A4663" s="55"/>
      <c r="B4663"/>
    </row>
    <row r="4664" spans="1:2">
      <c r="A4664" s="55"/>
      <c r="B4664"/>
    </row>
    <row r="4665" spans="1:2">
      <c r="A4665" s="55"/>
      <c r="B4665"/>
    </row>
    <row r="4666" spans="1:2">
      <c r="A4666" s="55"/>
      <c r="B4666"/>
    </row>
    <row r="4667" spans="1:2">
      <c r="A4667" s="55"/>
      <c r="B4667"/>
    </row>
    <row r="4668" spans="1:2">
      <c r="A4668" s="55"/>
      <c r="B4668"/>
    </row>
    <row r="4669" spans="1:2">
      <c r="A4669" s="55"/>
      <c r="B4669"/>
    </row>
    <row r="4670" spans="1:2">
      <c r="A4670" s="55"/>
      <c r="B4670"/>
    </row>
    <row r="4671" spans="1:2">
      <c r="A4671" s="55"/>
      <c r="B4671"/>
    </row>
    <row r="4672" spans="1:2">
      <c r="A4672" s="55"/>
      <c r="B4672"/>
    </row>
    <row r="4673" spans="1:2">
      <c r="A4673" s="55"/>
      <c r="B4673"/>
    </row>
    <row r="4674" spans="1:2">
      <c r="A4674" s="55"/>
      <c r="B4674"/>
    </row>
    <row r="4675" spans="1:2">
      <c r="A4675" s="55"/>
      <c r="B4675"/>
    </row>
    <row r="4676" spans="1:2">
      <c r="A4676" s="55"/>
      <c r="B4676"/>
    </row>
    <row r="4677" spans="1:2">
      <c r="A4677" s="55"/>
      <c r="B4677"/>
    </row>
    <row r="4678" spans="1:2">
      <c r="A4678" s="55"/>
      <c r="B4678"/>
    </row>
    <row r="4679" spans="1:2">
      <c r="A4679" s="55"/>
      <c r="B4679"/>
    </row>
    <row r="4680" spans="1:2">
      <c r="A4680" s="55"/>
      <c r="B4680"/>
    </row>
    <row r="4681" spans="1:2">
      <c r="A4681" s="55"/>
      <c r="B4681"/>
    </row>
    <row r="4682" spans="1:2">
      <c r="A4682" s="55"/>
      <c r="B4682"/>
    </row>
    <row r="4683" spans="1:2">
      <c r="A4683" s="55"/>
      <c r="B4683"/>
    </row>
    <row r="4684" spans="1:2">
      <c r="A4684" s="55"/>
      <c r="B4684"/>
    </row>
    <row r="4685" spans="1:2">
      <c r="A4685" s="55"/>
      <c r="B4685"/>
    </row>
    <row r="4686" spans="1:2">
      <c r="A4686" s="55"/>
      <c r="B4686"/>
    </row>
    <row r="4687" spans="1:2">
      <c r="A4687" s="55"/>
      <c r="B4687"/>
    </row>
    <row r="4688" spans="1:2">
      <c r="A4688" s="55"/>
      <c r="B4688"/>
    </row>
    <row r="4689" spans="1:2">
      <c r="A4689" s="55"/>
      <c r="B4689"/>
    </row>
    <row r="4690" spans="1:2">
      <c r="A4690" s="55"/>
      <c r="B4690"/>
    </row>
    <row r="4691" spans="1:2">
      <c r="A4691" s="55"/>
      <c r="B4691"/>
    </row>
    <row r="4692" spans="1:2">
      <c r="A4692" s="55"/>
      <c r="B4692"/>
    </row>
    <row r="4693" spans="1:2">
      <c r="A4693" s="55"/>
      <c r="B4693"/>
    </row>
    <row r="4694" spans="1:2">
      <c r="A4694" s="55"/>
      <c r="B4694"/>
    </row>
    <row r="4695" spans="1:2">
      <c r="A4695" s="55"/>
      <c r="B4695"/>
    </row>
    <row r="4696" spans="1:2">
      <c r="A4696" s="55"/>
      <c r="B4696"/>
    </row>
    <row r="4697" spans="1:2">
      <c r="A4697" s="55"/>
      <c r="B4697"/>
    </row>
    <row r="4698" spans="1:2">
      <c r="A4698" s="55"/>
      <c r="B4698"/>
    </row>
    <row r="4699" spans="1:2">
      <c r="A4699" s="55"/>
      <c r="B4699"/>
    </row>
    <row r="4700" spans="1:2">
      <c r="A4700" s="55"/>
      <c r="B4700"/>
    </row>
    <row r="4701" spans="1:2">
      <c r="A4701" s="55"/>
      <c r="B4701"/>
    </row>
    <row r="4702" spans="1:2">
      <c r="A4702" s="55"/>
      <c r="B4702"/>
    </row>
    <row r="4703" spans="1:2">
      <c r="A4703" s="55"/>
      <c r="B4703"/>
    </row>
    <row r="4704" spans="1:2">
      <c r="A4704" s="55"/>
      <c r="B4704"/>
    </row>
    <row r="4705" spans="1:2">
      <c r="A4705" s="55"/>
      <c r="B4705"/>
    </row>
    <row r="4706" spans="1:2">
      <c r="A4706" s="55"/>
      <c r="B4706"/>
    </row>
    <row r="4707" spans="1:2">
      <c r="A4707" s="55"/>
      <c r="B4707"/>
    </row>
    <row r="4708" spans="1:2">
      <c r="A4708" s="55"/>
      <c r="B4708"/>
    </row>
    <row r="4709" spans="1:2">
      <c r="A4709" s="55"/>
      <c r="B4709"/>
    </row>
    <row r="4710" spans="1:2">
      <c r="A4710" s="55"/>
      <c r="B4710"/>
    </row>
    <row r="4711" spans="1:2">
      <c r="A4711" s="55"/>
      <c r="B4711"/>
    </row>
    <row r="4712" spans="1:2">
      <c r="A4712" s="55"/>
      <c r="B4712"/>
    </row>
    <row r="4713" spans="1:2">
      <c r="A4713" s="55"/>
      <c r="B4713"/>
    </row>
    <row r="4714" spans="1:2">
      <c r="A4714" s="55"/>
      <c r="B4714"/>
    </row>
    <row r="4715" spans="1:2">
      <c r="A4715" s="55"/>
      <c r="B4715"/>
    </row>
    <row r="4716" spans="1:2">
      <c r="A4716" s="55"/>
      <c r="B4716"/>
    </row>
    <row r="4717" spans="1:2">
      <c r="A4717" s="55"/>
      <c r="B4717"/>
    </row>
    <row r="4718" spans="1:2">
      <c r="A4718" s="55"/>
      <c r="B4718"/>
    </row>
    <row r="4719" spans="1:2">
      <c r="A4719" s="55"/>
      <c r="B4719"/>
    </row>
    <row r="4720" spans="1:2">
      <c r="A4720" s="55"/>
      <c r="B4720"/>
    </row>
    <row r="4721" spans="1:2">
      <c r="A4721" s="55"/>
      <c r="B4721"/>
    </row>
    <row r="4722" spans="1:2">
      <c r="A4722" s="55"/>
      <c r="B4722"/>
    </row>
    <row r="4723" spans="1:2">
      <c r="A4723" s="55"/>
      <c r="B4723"/>
    </row>
    <row r="4724" spans="1:2">
      <c r="A4724" s="55"/>
      <c r="B4724"/>
    </row>
    <row r="4725" spans="1:2">
      <c r="A4725" s="55"/>
      <c r="B4725"/>
    </row>
    <row r="4726" spans="1:2">
      <c r="A4726" s="55"/>
      <c r="B4726"/>
    </row>
    <row r="4727" spans="1:2">
      <c r="A4727" s="55"/>
      <c r="B4727"/>
    </row>
    <row r="4728" spans="1:2">
      <c r="A4728" s="55"/>
      <c r="B4728"/>
    </row>
    <row r="4729" spans="1:2">
      <c r="A4729" s="55"/>
      <c r="B4729"/>
    </row>
    <row r="4730" spans="1:2">
      <c r="A4730" s="55"/>
      <c r="B4730"/>
    </row>
    <row r="4731" spans="1:2">
      <c r="A4731" s="55"/>
      <c r="B4731"/>
    </row>
    <row r="4732" spans="1:2">
      <c r="A4732" s="55"/>
      <c r="B4732"/>
    </row>
    <row r="4733" spans="1:2">
      <c r="A4733" s="55"/>
      <c r="B4733"/>
    </row>
    <row r="4734" spans="1:2">
      <c r="A4734" s="55"/>
      <c r="B4734"/>
    </row>
    <row r="4735" spans="1:2">
      <c r="A4735" s="55"/>
      <c r="B4735"/>
    </row>
    <row r="4736" spans="1:2">
      <c r="A4736" s="55"/>
      <c r="B4736"/>
    </row>
    <row r="4737" spans="1:2">
      <c r="A4737" s="55"/>
      <c r="B4737"/>
    </row>
    <row r="4738" spans="1:2">
      <c r="A4738" s="55"/>
      <c r="B4738"/>
    </row>
    <row r="4739" spans="1:2">
      <c r="A4739" s="55"/>
      <c r="B4739"/>
    </row>
    <row r="4740" spans="1:2">
      <c r="A4740" s="55"/>
      <c r="B4740"/>
    </row>
    <row r="4741" spans="1:2">
      <c r="A4741" s="55"/>
      <c r="B4741"/>
    </row>
    <row r="4742" spans="1:2">
      <c r="A4742" s="55"/>
      <c r="B4742"/>
    </row>
    <row r="4743" spans="1:2">
      <c r="A4743" s="55"/>
      <c r="B4743"/>
    </row>
    <row r="4744" spans="1:2">
      <c r="A4744" s="55"/>
      <c r="B4744"/>
    </row>
    <row r="4745" spans="1:2">
      <c r="A4745" s="55"/>
      <c r="B4745"/>
    </row>
    <row r="4746" spans="1:2">
      <c r="A4746" s="55"/>
      <c r="B4746"/>
    </row>
    <row r="4747" spans="1:2">
      <c r="A4747" s="55"/>
      <c r="B4747"/>
    </row>
    <row r="4748" spans="1:2">
      <c r="A4748" s="55"/>
      <c r="B4748"/>
    </row>
    <row r="4749" spans="1:2">
      <c r="A4749" s="55"/>
      <c r="B4749"/>
    </row>
    <row r="4750" spans="1:2">
      <c r="A4750" s="55"/>
      <c r="B4750"/>
    </row>
    <row r="4751" spans="1:2">
      <c r="A4751" s="55"/>
      <c r="B4751"/>
    </row>
    <row r="4752" spans="1:2">
      <c r="A4752" s="55"/>
      <c r="B4752"/>
    </row>
    <row r="4753" spans="1:2">
      <c r="A4753" s="55"/>
      <c r="B4753"/>
    </row>
    <row r="4754" spans="1:2">
      <c r="A4754" s="55"/>
      <c r="B4754"/>
    </row>
    <row r="4755" spans="1:2">
      <c r="A4755" s="55"/>
      <c r="B4755"/>
    </row>
    <row r="4756" spans="1:2">
      <c r="A4756" s="55"/>
      <c r="B4756"/>
    </row>
    <row r="4757" spans="1:2">
      <c r="A4757" s="55"/>
      <c r="B4757"/>
    </row>
    <row r="4758" spans="1:2">
      <c r="A4758" s="55"/>
      <c r="B4758"/>
    </row>
    <row r="4759" spans="1:2">
      <c r="A4759" s="55"/>
      <c r="B4759"/>
    </row>
    <row r="4760" spans="1:2">
      <c r="A4760" s="55"/>
      <c r="B4760"/>
    </row>
    <row r="4761" spans="1:2">
      <c r="A4761" s="55"/>
      <c r="B4761"/>
    </row>
    <row r="4762" spans="1:2">
      <c r="A4762" s="55"/>
      <c r="B4762"/>
    </row>
    <row r="4763" spans="1:2">
      <c r="A4763" s="55"/>
      <c r="B4763"/>
    </row>
    <row r="4764" spans="1:2">
      <c r="A4764" s="55"/>
      <c r="B4764"/>
    </row>
    <row r="4765" spans="1:2">
      <c r="A4765" s="55"/>
      <c r="B4765"/>
    </row>
    <row r="4766" spans="1:2">
      <c r="A4766" s="55"/>
      <c r="B4766"/>
    </row>
    <row r="4767" spans="1:2">
      <c r="A4767" s="55"/>
      <c r="B4767"/>
    </row>
    <row r="4768" spans="1:2">
      <c r="A4768" s="55"/>
      <c r="B4768"/>
    </row>
    <row r="4769" spans="1:2">
      <c r="A4769" s="55"/>
      <c r="B4769"/>
    </row>
    <row r="4770" spans="1:2">
      <c r="A4770" s="55"/>
      <c r="B4770"/>
    </row>
    <row r="4771" spans="1:2">
      <c r="A4771" s="55"/>
      <c r="B4771"/>
    </row>
    <row r="4772" spans="1:2">
      <c r="A4772" s="55"/>
      <c r="B4772"/>
    </row>
    <row r="4773" spans="1:2">
      <c r="A4773" s="55"/>
      <c r="B4773"/>
    </row>
    <row r="4774" spans="1:2">
      <c r="A4774" s="55"/>
      <c r="B4774"/>
    </row>
    <row r="4775" spans="1:2">
      <c r="A4775" s="55"/>
      <c r="B4775"/>
    </row>
    <row r="4776" spans="1:2">
      <c r="A4776" s="55"/>
      <c r="B4776"/>
    </row>
    <row r="4777" spans="1:2">
      <c r="A4777" s="55"/>
      <c r="B4777"/>
    </row>
    <row r="4778" spans="1:2">
      <c r="A4778" s="55"/>
      <c r="B4778"/>
    </row>
    <row r="4779" spans="1:2">
      <c r="A4779" s="55"/>
      <c r="B4779"/>
    </row>
    <row r="4780" spans="1:2">
      <c r="A4780" s="55"/>
      <c r="B4780"/>
    </row>
    <row r="4781" spans="1:2">
      <c r="A4781" s="55"/>
      <c r="B4781"/>
    </row>
    <row r="4782" spans="1:2">
      <c r="A4782" s="55"/>
      <c r="B4782"/>
    </row>
    <row r="4783" spans="1:2">
      <c r="A4783" s="55"/>
      <c r="B4783"/>
    </row>
    <row r="4784" spans="1:2">
      <c r="A4784" s="55"/>
      <c r="B4784"/>
    </row>
    <row r="4785" spans="1:2">
      <c r="A4785" s="55"/>
      <c r="B4785"/>
    </row>
    <row r="4786" spans="1:2">
      <c r="A4786" s="55"/>
      <c r="B4786"/>
    </row>
    <row r="4787" spans="1:2">
      <c r="A4787" s="55"/>
      <c r="B4787"/>
    </row>
    <row r="4788" spans="1:2">
      <c r="A4788" s="55"/>
      <c r="B4788"/>
    </row>
    <row r="4789" spans="1:2">
      <c r="A4789" s="55"/>
      <c r="B4789"/>
    </row>
    <row r="4790" spans="1:2">
      <c r="A4790" s="55"/>
      <c r="B4790"/>
    </row>
    <row r="4791" spans="1:2">
      <c r="A4791" s="55"/>
      <c r="B4791"/>
    </row>
    <row r="4792" spans="1:2">
      <c r="A4792" s="55"/>
      <c r="B4792"/>
    </row>
    <row r="4793" spans="1:2">
      <c r="A4793" s="55"/>
      <c r="B4793"/>
    </row>
    <row r="4794" spans="1:2">
      <c r="A4794" s="55"/>
      <c r="B4794"/>
    </row>
    <row r="4795" spans="1:2">
      <c r="A4795" s="55"/>
      <c r="B4795"/>
    </row>
    <row r="4796" spans="1:2">
      <c r="A4796" s="55"/>
      <c r="B4796"/>
    </row>
    <row r="4797" spans="1:2">
      <c r="A4797" s="55"/>
      <c r="B4797"/>
    </row>
    <row r="4798" spans="1:2">
      <c r="A4798" s="55"/>
      <c r="B4798"/>
    </row>
    <row r="4799" spans="1:2">
      <c r="A4799" s="55"/>
      <c r="B4799"/>
    </row>
    <row r="4800" spans="1:2">
      <c r="A4800" s="55"/>
      <c r="B4800"/>
    </row>
    <row r="4801" spans="1:2">
      <c r="A4801" s="55"/>
      <c r="B4801"/>
    </row>
    <row r="4802" spans="1:2">
      <c r="A4802" s="55"/>
      <c r="B4802"/>
    </row>
    <row r="4803" spans="1:2">
      <c r="A4803" s="55"/>
      <c r="B4803"/>
    </row>
    <row r="4804" spans="1:2">
      <c r="A4804" s="55"/>
      <c r="B4804"/>
    </row>
    <row r="4805" spans="1:2">
      <c r="A4805" s="55"/>
      <c r="B4805"/>
    </row>
    <row r="4806" spans="1:2">
      <c r="A4806" s="55"/>
      <c r="B4806"/>
    </row>
    <row r="4807" spans="1:2">
      <c r="A4807" s="55"/>
      <c r="B4807"/>
    </row>
    <row r="4808" spans="1:2">
      <c r="A4808" s="55"/>
      <c r="B4808"/>
    </row>
    <row r="4809" spans="1:2">
      <c r="A4809" s="55"/>
      <c r="B4809"/>
    </row>
    <row r="4810" spans="1:2">
      <c r="A4810" s="55"/>
      <c r="B4810"/>
    </row>
    <row r="4811" spans="1:2">
      <c r="A4811" s="55"/>
      <c r="B4811"/>
    </row>
    <row r="4812" spans="1:2">
      <c r="A4812" s="55"/>
      <c r="B4812"/>
    </row>
    <row r="4813" spans="1:2">
      <c r="A4813" s="55"/>
      <c r="B4813"/>
    </row>
    <row r="4814" spans="1:2">
      <c r="A4814" s="55"/>
      <c r="B4814"/>
    </row>
    <row r="4815" spans="1:2">
      <c r="A4815" s="55"/>
      <c r="B4815"/>
    </row>
    <row r="4816" spans="1:2">
      <c r="A4816" s="55"/>
      <c r="B4816"/>
    </row>
    <row r="4817" spans="1:2">
      <c r="A4817" s="55"/>
      <c r="B4817"/>
    </row>
    <row r="4818" spans="1:2">
      <c r="A4818" s="55"/>
      <c r="B4818"/>
    </row>
    <row r="4819" spans="1:2">
      <c r="A4819" s="55"/>
      <c r="B4819"/>
    </row>
    <row r="4820" spans="1:2">
      <c r="A4820" s="55"/>
      <c r="B4820"/>
    </row>
    <row r="4821" spans="1:2">
      <c r="A4821" s="55"/>
      <c r="B4821"/>
    </row>
    <row r="4822" spans="1:2">
      <c r="A4822" s="55"/>
      <c r="B4822"/>
    </row>
    <row r="4823" spans="1:2">
      <c r="A4823" s="55"/>
      <c r="B4823"/>
    </row>
    <row r="4824" spans="1:2">
      <c r="A4824" s="55"/>
      <c r="B4824"/>
    </row>
    <row r="4825" spans="1:2">
      <c r="A4825" s="55"/>
      <c r="B4825"/>
    </row>
    <row r="4826" spans="1:2">
      <c r="A4826" s="55"/>
      <c r="B4826"/>
    </row>
    <row r="4827" spans="1:2">
      <c r="A4827" s="55"/>
      <c r="B4827"/>
    </row>
    <row r="4828" spans="1:2">
      <c r="A4828" s="55"/>
      <c r="B4828"/>
    </row>
    <row r="4829" spans="1:2">
      <c r="A4829" s="55"/>
      <c r="B4829"/>
    </row>
    <row r="4830" spans="1:2">
      <c r="A4830" s="55"/>
      <c r="B4830"/>
    </row>
    <row r="4831" spans="1:2">
      <c r="A4831" s="55"/>
      <c r="B4831"/>
    </row>
    <row r="4832" spans="1:2">
      <c r="A4832" s="55"/>
      <c r="B4832"/>
    </row>
    <row r="4833" spans="1:2">
      <c r="A4833" s="55"/>
      <c r="B4833"/>
    </row>
    <row r="4834" spans="1:2">
      <c r="A4834" s="55"/>
      <c r="B4834"/>
    </row>
    <row r="4835" spans="1:2">
      <c r="A4835" s="55"/>
      <c r="B4835"/>
    </row>
    <row r="4836" spans="1:2">
      <c r="A4836" s="55"/>
      <c r="B4836"/>
    </row>
    <row r="4837" spans="1:2">
      <c r="A4837" s="55"/>
      <c r="B4837"/>
    </row>
    <row r="4838" spans="1:2">
      <c r="A4838" s="55"/>
      <c r="B4838"/>
    </row>
    <row r="4839" spans="1:2">
      <c r="A4839" s="55"/>
      <c r="B4839"/>
    </row>
    <row r="4840" spans="1:2">
      <c r="A4840" s="55"/>
      <c r="B4840"/>
    </row>
    <row r="4841" spans="1:2">
      <c r="A4841" s="55"/>
      <c r="B4841"/>
    </row>
    <row r="4842" spans="1:2">
      <c r="A4842" s="55"/>
      <c r="B4842"/>
    </row>
    <row r="4843" spans="1:2">
      <c r="A4843" s="55"/>
      <c r="B4843"/>
    </row>
    <row r="4844" spans="1:2">
      <c r="A4844" s="55"/>
      <c r="B4844"/>
    </row>
    <row r="4845" spans="1:2">
      <c r="A4845" s="55"/>
      <c r="B4845"/>
    </row>
    <row r="4846" spans="1:2">
      <c r="A4846" s="55"/>
      <c r="B4846"/>
    </row>
    <row r="4847" spans="1:2">
      <c r="A4847" s="55"/>
      <c r="B4847"/>
    </row>
    <row r="4848" spans="1:2">
      <c r="A4848" s="55"/>
      <c r="B4848"/>
    </row>
    <row r="4849" spans="1:2">
      <c r="A4849" s="55"/>
      <c r="B4849"/>
    </row>
    <row r="4850" spans="1:2">
      <c r="A4850" s="55"/>
      <c r="B4850"/>
    </row>
    <row r="4851" spans="1:2">
      <c r="A4851" s="55"/>
      <c r="B4851"/>
    </row>
    <row r="4852" spans="1:2">
      <c r="A4852" s="55"/>
      <c r="B4852"/>
    </row>
    <row r="4853" spans="1:2">
      <c r="A4853" s="55"/>
      <c r="B4853"/>
    </row>
    <row r="4854" spans="1:2">
      <c r="A4854" s="55"/>
      <c r="B4854"/>
    </row>
    <row r="4855" spans="1:2">
      <c r="A4855" s="55"/>
      <c r="B4855"/>
    </row>
    <row r="4856" spans="1:2">
      <c r="A4856" s="55"/>
      <c r="B4856"/>
    </row>
    <row r="4857" spans="1:2">
      <c r="A4857" s="55"/>
      <c r="B4857"/>
    </row>
    <row r="4858" spans="1:2">
      <c r="A4858" s="55"/>
      <c r="B4858"/>
    </row>
    <row r="4859" spans="1:2">
      <c r="A4859" s="55"/>
      <c r="B4859"/>
    </row>
    <row r="4860" spans="1:2">
      <c r="A4860" s="55"/>
      <c r="B4860"/>
    </row>
    <row r="4861" spans="1:2">
      <c r="A4861" s="55"/>
      <c r="B4861"/>
    </row>
    <row r="4862" spans="1:2">
      <c r="A4862" s="55"/>
      <c r="B4862"/>
    </row>
    <row r="4863" spans="1:2">
      <c r="A4863" s="55"/>
      <c r="B4863"/>
    </row>
    <row r="4864" spans="1:2">
      <c r="A4864" s="55"/>
      <c r="B4864"/>
    </row>
    <row r="4865" spans="1:2">
      <c r="A4865" s="55"/>
      <c r="B4865"/>
    </row>
    <row r="4866" spans="1:2">
      <c r="A4866" s="55"/>
      <c r="B4866"/>
    </row>
    <row r="4867" spans="1:2">
      <c r="A4867" s="55"/>
      <c r="B4867"/>
    </row>
    <row r="4868" spans="1:2">
      <c r="A4868" s="55"/>
      <c r="B4868"/>
    </row>
    <row r="4869" spans="1:2">
      <c r="A4869" s="55"/>
      <c r="B4869"/>
    </row>
    <row r="4870" spans="1:2">
      <c r="A4870" s="55"/>
      <c r="B4870"/>
    </row>
    <row r="4871" spans="1:2">
      <c r="A4871" s="55"/>
      <c r="B4871"/>
    </row>
    <row r="4872" spans="1:2">
      <c r="A4872" s="55"/>
      <c r="B4872"/>
    </row>
    <row r="4873" spans="1:2">
      <c r="A4873" s="55"/>
      <c r="B4873"/>
    </row>
    <row r="4874" spans="1:2">
      <c r="A4874" s="55"/>
      <c r="B4874"/>
    </row>
    <row r="4875" spans="1:2">
      <c r="A4875" s="55"/>
      <c r="B4875"/>
    </row>
    <row r="4876" spans="1:2">
      <c r="A4876" s="55"/>
      <c r="B4876"/>
    </row>
    <row r="4877" spans="1:2">
      <c r="A4877" s="55"/>
      <c r="B4877"/>
    </row>
    <row r="4878" spans="1:2">
      <c r="A4878" s="55"/>
      <c r="B4878"/>
    </row>
    <row r="4879" spans="1:2">
      <c r="A4879" s="55"/>
      <c r="B4879"/>
    </row>
    <row r="4880" spans="1:2">
      <c r="A4880" s="55"/>
      <c r="B4880"/>
    </row>
    <row r="4881" spans="1:2">
      <c r="A4881" s="55"/>
      <c r="B4881"/>
    </row>
    <row r="4882" spans="1:2">
      <c r="A4882" s="55"/>
      <c r="B4882"/>
    </row>
    <row r="4883" spans="1:2">
      <c r="A4883" s="55"/>
      <c r="B4883"/>
    </row>
    <row r="4884" spans="1:2">
      <c r="A4884" s="55"/>
      <c r="B4884"/>
    </row>
    <row r="4885" spans="1:2">
      <c r="A4885" s="55"/>
      <c r="B4885"/>
    </row>
    <row r="4886" spans="1:2">
      <c r="A4886" s="55"/>
      <c r="B4886"/>
    </row>
    <row r="4887" spans="1:2">
      <c r="A4887" s="55"/>
      <c r="B4887"/>
    </row>
    <row r="4888" spans="1:2">
      <c r="A4888" s="55"/>
      <c r="B4888"/>
    </row>
    <row r="4889" spans="1:2">
      <c r="A4889" s="55"/>
      <c r="B4889"/>
    </row>
    <row r="4890" spans="1:2">
      <c r="A4890" s="55"/>
      <c r="B4890"/>
    </row>
    <row r="4891" spans="1:2">
      <c r="A4891" s="55"/>
      <c r="B4891"/>
    </row>
    <row r="4892" spans="1:2">
      <c r="A4892" s="55"/>
      <c r="B4892"/>
    </row>
    <row r="4893" spans="1:2">
      <c r="A4893" s="55"/>
      <c r="B4893"/>
    </row>
    <row r="4894" spans="1:2">
      <c r="A4894" s="55"/>
      <c r="B4894"/>
    </row>
    <row r="4895" spans="1:2">
      <c r="A4895" s="55"/>
      <c r="B4895"/>
    </row>
    <row r="4896" spans="1:2">
      <c r="A4896" s="55"/>
      <c r="B4896"/>
    </row>
    <row r="4897" spans="1:2">
      <c r="A4897" s="55"/>
      <c r="B4897"/>
    </row>
    <row r="4898" spans="1:2">
      <c r="A4898" s="55"/>
      <c r="B4898"/>
    </row>
    <row r="4899" spans="1:2">
      <c r="A4899" s="55"/>
      <c r="B4899"/>
    </row>
    <row r="4900" spans="1:2">
      <c r="A4900" s="55"/>
      <c r="B4900"/>
    </row>
    <row r="4901" spans="1:2">
      <c r="A4901" s="55"/>
      <c r="B4901"/>
    </row>
    <row r="4902" spans="1:2">
      <c r="A4902" s="55"/>
      <c r="B4902"/>
    </row>
    <row r="4903" spans="1:2">
      <c r="A4903" s="55"/>
      <c r="B4903"/>
    </row>
    <row r="4904" spans="1:2">
      <c r="A4904" s="55"/>
      <c r="B4904"/>
    </row>
    <row r="4905" spans="1:2">
      <c r="A4905" s="55"/>
      <c r="B4905"/>
    </row>
    <row r="4906" spans="1:2">
      <c r="A4906" s="55"/>
      <c r="B4906"/>
    </row>
    <row r="4907" spans="1:2">
      <c r="A4907" s="55"/>
      <c r="B4907"/>
    </row>
    <row r="4908" spans="1:2">
      <c r="A4908" s="55"/>
      <c r="B4908"/>
    </row>
    <row r="4909" spans="1:2">
      <c r="A4909" s="55"/>
      <c r="B4909"/>
    </row>
    <row r="4910" spans="1:2">
      <c r="A4910" s="55"/>
      <c r="B4910"/>
    </row>
    <row r="4911" spans="1:2">
      <c r="A4911" s="55"/>
      <c r="B4911"/>
    </row>
    <row r="4912" spans="1:2">
      <c r="A4912" s="55"/>
      <c r="B4912"/>
    </row>
    <row r="4913" spans="1:2">
      <c r="A4913" s="55"/>
      <c r="B4913"/>
    </row>
    <row r="4914" spans="1:2">
      <c r="A4914" s="55"/>
      <c r="B4914"/>
    </row>
    <row r="4915" spans="1:2">
      <c r="A4915" s="55"/>
      <c r="B4915"/>
    </row>
    <row r="4916" spans="1:2">
      <c r="A4916" s="55"/>
      <c r="B4916"/>
    </row>
    <row r="4917" spans="1:2">
      <c r="A4917" s="55"/>
      <c r="B4917"/>
    </row>
    <row r="4918" spans="1:2">
      <c r="A4918" s="55"/>
      <c r="B4918"/>
    </row>
    <row r="4919" spans="1:2">
      <c r="A4919" s="55"/>
      <c r="B4919"/>
    </row>
    <row r="4920" spans="1:2">
      <c r="A4920" s="55"/>
      <c r="B4920"/>
    </row>
    <row r="4921" spans="1:2">
      <c r="A4921" s="55"/>
      <c r="B4921"/>
    </row>
    <row r="4922" spans="1:2">
      <c r="A4922" s="55"/>
      <c r="B4922"/>
    </row>
    <row r="4923" spans="1:2">
      <c r="A4923" s="55"/>
      <c r="B4923"/>
    </row>
    <row r="4924" spans="1:2">
      <c r="A4924" s="55"/>
      <c r="B4924"/>
    </row>
    <row r="4925" spans="1:2">
      <c r="A4925" s="55"/>
      <c r="B4925"/>
    </row>
    <row r="4926" spans="1:2">
      <c r="A4926" s="55"/>
      <c r="B4926"/>
    </row>
    <row r="4927" spans="1:2">
      <c r="A4927" s="55"/>
      <c r="B4927"/>
    </row>
    <row r="4928" spans="1:2">
      <c r="A4928" s="55"/>
      <c r="B4928"/>
    </row>
    <row r="4929" spans="1:2">
      <c r="A4929" s="55"/>
      <c r="B4929"/>
    </row>
    <row r="4930" spans="1:2">
      <c r="A4930" s="55"/>
      <c r="B4930"/>
    </row>
    <row r="4931" spans="1:2">
      <c r="A4931" s="55"/>
      <c r="B4931"/>
    </row>
    <row r="4932" spans="1:2">
      <c r="A4932" s="55"/>
      <c r="B4932"/>
    </row>
    <row r="4933" spans="1:2">
      <c r="A4933" s="55"/>
      <c r="B4933"/>
    </row>
    <row r="4934" spans="1:2">
      <c r="A4934" s="55"/>
      <c r="B4934"/>
    </row>
    <row r="4935" spans="1:2">
      <c r="A4935" s="55"/>
      <c r="B4935"/>
    </row>
    <row r="4936" spans="1:2">
      <c r="A4936" s="55"/>
      <c r="B4936"/>
    </row>
    <row r="4937" spans="1:2">
      <c r="A4937" s="55"/>
      <c r="B4937"/>
    </row>
    <row r="4938" spans="1:2">
      <c r="A4938" s="55"/>
      <c r="B4938"/>
    </row>
    <row r="4939" spans="1:2">
      <c r="A4939" s="55"/>
      <c r="B4939"/>
    </row>
    <row r="4940" spans="1:2">
      <c r="A4940" s="55"/>
      <c r="B4940"/>
    </row>
    <row r="4941" spans="1:2">
      <c r="A4941" s="55"/>
      <c r="B4941"/>
    </row>
    <row r="4942" spans="1:2">
      <c r="A4942" s="55"/>
      <c r="B4942"/>
    </row>
    <row r="4943" spans="1:2">
      <c r="A4943" s="55"/>
      <c r="B4943"/>
    </row>
    <row r="4944" spans="1:2">
      <c r="A4944" s="55"/>
      <c r="B4944"/>
    </row>
    <row r="4945" spans="1:2">
      <c r="A4945" s="55"/>
      <c r="B4945"/>
    </row>
    <row r="4946" spans="1:2">
      <c r="A4946" s="55"/>
      <c r="B4946"/>
    </row>
    <row r="4947" spans="1:2">
      <c r="A4947" s="55"/>
      <c r="B4947"/>
    </row>
    <row r="4948" spans="1:2">
      <c r="A4948" s="55"/>
      <c r="B4948"/>
    </row>
    <row r="4949" spans="1:2">
      <c r="A4949" s="55"/>
      <c r="B4949"/>
    </row>
    <row r="4950" spans="1:2">
      <c r="A4950" s="55"/>
      <c r="B4950"/>
    </row>
    <row r="4951" spans="1:2">
      <c r="A4951" s="55"/>
      <c r="B4951"/>
    </row>
    <row r="4952" spans="1:2">
      <c r="A4952" s="55"/>
      <c r="B4952"/>
    </row>
    <row r="4953" spans="1:2">
      <c r="A4953" s="55"/>
      <c r="B4953"/>
    </row>
    <row r="4954" spans="1:2">
      <c r="A4954" s="55"/>
      <c r="B4954"/>
    </row>
    <row r="4955" spans="1:2">
      <c r="A4955" s="55"/>
      <c r="B4955"/>
    </row>
    <row r="4956" spans="1:2">
      <c r="A4956" s="55"/>
      <c r="B4956"/>
    </row>
    <row r="4957" spans="1:2">
      <c r="A4957" s="55"/>
      <c r="B4957"/>
    </row>
    <row r="4958" spans="1:2">
      <c r="A4958" s="55"/>
      <c r="B4958"/>
    </row>
    <row r="4959" spans="1:2">
      <c r="A4959" s="55"/>
      <c r="B4959"/>
    </row>
    <row r="4960" spans="1:2">
      <c r="A4960" s="55"/>
      <c r="B4960"/>
    </row>
    <row r="4961" spans="1:2">
      <c r="A4961" s="55"/>
      <c r="B4961"/>
    </row>
    <row r="4962" spans="1:2">
      <c r="A4962" s="55"/>
      <c r="B4962"/>
    </row>
    <row r="4963" spans="1:2">
      <c r="A4963" s="55"/>
      <c r="B4963"/>
    </row>
    <row r="4964" spans="1:2">
      <c r="A4964" s="55"/>
      <c r="B4964"/>
    </row>
    <row r="4965" spans="1:2">
      <c r="A4965" s="55"/>
      <c r="B4965"/>
    </row>
    <row r="4966" spans="1:2">
      <c r="A4966" s="55"/>
      <c r="B4966"/>
    </row>
    <row r="4967" spans="1:2">
      <c r="A4967" s="55"/>
      <c r="B4967"/>
    </row>
    <row r="4968" spans="1:2">
      <c r="A4968" s="55"/>
      <c r="B4968"/>
    </row>
    <row r="4969" spans="1:2">
      <c r="A4969" s="55"/>
      <c r="B4969"/>
    </row>
    <row r="4970" spans="1:2">
      <c r="A4970" s="55"/>
      <c r="B4970"/>
    </row>
    <row r="4971" spans="1:2">
      <c r="A4971" s="55"/>
      <c r="B4971"/>
    </row>
    <row r="4972" spans="1:2">
      <c r="A4972" s="55"/>
      <c r="B4972"/>
    </row>
    <row r="4973" spans="1:2">
      <c r="A4973" s="55"/>
      <c r="B4973"/>
    </row>
    <row r="4974" spans="1:2">
      <c r="A4974" s="55"/>
      <c r="B4974"/>
    </row>
    <row r="4975" spans="1:2">
      <c r="A4975" s="55"/>
      <c r="B4975"/>
    </row>
    <row r="4976" spans="1:2">
      <c r="A4976" s="55"/>
      <c r="B4976"/>
    </row>
    <row r="4977" spans="1:2">
      <c r="A4977" s="55"/>
      <c r="B4977"/>
    </row>
    <row r="4978" spans="1:2">
      <c r="A4978" s="55"/>
      <c r="B4978"/>
    </row>
    <row r="4979" spans="1:2">
      <c r="A4979" s="55"/>
      <c r="B4979"/>
    </row>
    <row r="4980" spans="1:2">
      <c r="A4980" s="55"/>
      <c r="B4980"/>
    </row>
    <row r="4981" spans="1:2">
      <c r="A4981" s="55"/>
      <c r="B4981"/>
    </row>
    <row r="4982" spans="1:2">
      <c r="A4982" s="55"/>
      <c r="B4982"/>
    </row>
    <row r="4983" spans="1:2">
      <c r="A4983" s="55"/>
      <c r="B4983"/>
    </row>
    <row r="4984" spans="1:2">
      <c r="A4984" s="55"/>
      <c r="B4984"/>
    </row>
    <row r="4985" spans="1:2">
      <c r="A4985" s="55"/>
      <c r="B4985"/>
    </row>
    <row r="4986" spans="1:2">
      <c r="A4986" s="55"/>
      <c r="B4986"/>
    </row>
    <row r="4987" spans="1:2">
      <c r="A4987" s="55"/>
      <c r="B4987"/>
    </row>
    <row r="4988" spans="1:2">
      <c r="A4988" s="55"/>
      <c r="B4988"/>
    </row>
    <row r="4989" spans="1:2">
      <c r="A4989" s="55"/>
      <c r="B4989"/>
    </row>
    <row r="4990" spans="1:2">
      <c r="A4990" s="55"/>
      <c r="B4990"/>
    </row>
    <row r="4991" spans="1:2">
      <c r="A4991" s="55"/>
      <c r="B4991"/>
    </row>
    <row r="4992" spans="1:2">
      <c r="A4992" s="55"/>
      <c r="B4992"/>
    </row>
    <row r="4993" spans="1:2">
      <c r="A4993" s="55"/>
      <c r="B4993"/>
    </row>
    <row r="4994" spans="1:2">
      <c r="A4994" s="55"/>
      <c r="B4994"/>
    </row>
    <row r="4995" spans="1:2">
      <c r="A4995" s="55"/>
      <c r="B4995"/>
    </row>
    <row r="4996" spans="1:2">
      <c r="A4996" s="55"/>
      <c r="B4996"/>
    </row>
    <row r="4997" spans="1:2">
      <c r="A4997" s="55"/>
      <c r="B4997"/>
    </row>
    <row r="4998" spans="1:2">
      <c r="A4998" s="55"/>
      <c r="B4998"/>
    </row>
    <row r="4999" spans="1:2">
      <c r="A4999" s="55"/>
      <c r="B4999"/>
    </row>
    <row r="5000" spans="1:2">
      <c r="A5000" s="55"/>
      <c r="B5000"/>
    </row>
    <row r="5001" spans="1:2">
      <c r="A5001" s="55"/>
      <c r="B5001"/>
    </row>
    <row r="5002" spans="1:2">
      <c r="A5002" s="55"/>
      <c r="B5002"/>
    </row>
    <row r="5003" spans="1:2">
      <c r="A5003" s="55"/>
      <c r="B5003"/>
    </row>
    <row r="5004" spans="1:2">
      <c r="A5004" s="55"/>
      <c r="B5004"/>
    </row>
    <row r="5005" spans="1:2">
      <c r="A5005" s="55"/>
      <c r="B5005"/>
    </row>
    <row r="5006" spans="1:2">
      <c r="A5006" s="55"/>
      <c r="B5006"/>
    </row>
    <row r="5007" spans="1:2">
      <c r="A5007" s="55"/>
      <c r="B5007"/>
    </row>
    <row r="5008" spans="1:2">
      <c r="A5008" s="55"/>
      <c r="B5008"/>
    </row>
    <row r="5009" spans="1:2">
      <c r="A5009" s="55"/>
      <c r="B5009"/>
    </row>
    <row r="5010" spans="1:2">
      <c r="A5010" s="55"/>
      <c r="B5010"/>
    </row>
    <row r="5011" spans="1:2">
      <c r="A5011" s="55"/>
      <c r="B5011"/>
    </row>
    <row r="5012" spans="1:2">
      <c r="A5012" s="55"/>
      <c r="B5012"/>
    </row>
    <row r="5013" spans="1:2">
      <c r="A5013" s="55"/>
      <c r="B5013"/>
    </row>
    <row r="5014" spans="1:2">
      <c r="A5014" s="55"/>
      <c r="B5014"/>
    </row>
    <row r="5015" spans="1:2">
      <c r="A5015" s="55"/>
      <c r="B5015"/>
    </row>
    <row r="5016" spans="1:2">
      <c r="A5016" s="55"/>
      <c r="B5016"/>
    </row>
    <row r="5017" spans="1:2">
      <c r="A5017" s="55"/>
      <c r="B5017"/>
    </row>
    <row r="5018" spans="1:2">
      <c r="A5018" s="55"/>
      <c r="B5018"/>
    </row>
    <row r="5019" spans="1:2">
      <c r="A5019" s="55"/>
      <c r="B5019"/>
    </row>
    <row r="5020" spans="1:2">
      <c r="A5020" s="55"/>
      <c r="B5020"/>
    </row>
    <row r="5021" spans="1:2">
      <c r="A5021" s="55"/>
      <c r="B5021"/>
    </row>
    <row r="5022" spans="1:2">
      <c r="A5022" s="55"/>
      <c r="B5022"/>
    </row>
    <row r="5023" spans="1:2">
      <c r="A5023" s="55"/>
      <c r="B5023"/>
    </row>
    <row r="5024" spans="1:2">
      <c r="A5024" s="55"/>
      <c r="B5024"/>
    </row>
    <row r="5025" spans="1:2">
      <c r="A5025" s="55"/>
      <c r="B5025"/>
    </row>
    <row r="5026" spans="1:2">
      <c r="A5026" s="55"/>
      <c r="B5026"/>
    </row>
    <row r="5027" spans="1:2">
      <c r="A5027" s="55"/>
      <c r="B5027"/>
    </row>
    <row r="5028" spans="1:2">
      <c r="A5028" s="55"/>
      <c r="B5028"/>
    </row>
    <row r="5029" spans="1:2">
      <c r="A5029" s="55"/>
      <c r="B5029"/>
    </row>
    <row r="5030" spans="1:2">
      <c r="A5030" s="55"/>
      <c r="B5030"/>
    </row>
    <row r="5031" spans="1:2">
      <c r="A5031" s="55"/>
      <c r="B5031"/>
    </row>
    <row r="5032" spans="1:2">
      <c r="A5032" s="55"/>
      <c r="B5032"/>
    </row>
    <row r="5033" spans="1:2">
      <c r="A5033" s="55"/>
      <c r="B5033"/>
    </row>
    <row r="5034" spans="1:2">
      <c r="A5034" s="55"/>
      <c r="B5034"/>
    </row>
    <row r="5035" spans="1:2">
      <c r="A5035" s="55"/>
      <c r="B5035"/>
    </row>
    <row r="5036" spans="1:2">
      <c r="A5036" s="55"/>
      <c r="B5036"/>
    </row>
    <row r="5037" spans="1:2">
      <c r="A5037" s="55"/>
      <c r="B5037"/>
    </row>
    <row r="5038" spans="1:2">
      <c r="A5038" s="55"/>
      <c r="B5038"/>
    </row>
    <row r="5039" spans="1:2">
      <c r="A5039" s="55"/>
      <c r="B5039"/>
    </row>
    <row r="5040" spans="1:2">
      <c r="A5040" s="55"/>
      <c r="B5040"/>
    </row>
    <row r="5041" spans="1:2">
      <c r="A5041" s="55"/>
      <c r="B5041"/>
    </row>
    <row r="5042" spans="1:2">
      <c r="A5042" s="55"/>
      <c r="B5042"/>
    </row>
    <row r="5043" spans="1:2">
      <c r="A5043" s="55"/>
      <c r="B5043"/>
    </row>
    <row r="5044" spans="1:2">
      <c r="A5044" s="55"/>
      <c r="B5044"/>
    </row>
    <row r="5045" spans="1:2">
      <c r="A5045" s="55"/>
      <c r="B5045"/>
    </row>
    <row r="5046" spans="1:2">
      <c r="A5046" s="55"/>
      <c r="B5046"/>
    </row>
    <row r="5047" spans="1:2">
      <c r="A5047" s="55"/>
      <c r="B5047"/>
    </row>
    <row r="5048" spans="1:2">
      <c r="A5048" s="55"/>
      <c r="B5048"/>
    </row>
    <row r="5049" spans="1:2">
      <c r="A5049" s="55"/>
      <c r="B5049"/>
    </row>
    <row r="5050" spans="1:2">
      <c r="A5050" s="55"/>
      <c r="B5050"/>
    </row>
    <row r="5051" spans="1:2">
      <c r="A5051" s="55"/>
      <c r="B5051"/>
    </row>
    <row r="5052" spans="1:2">
      <c r="A5052" s="55"/>
      <c r="B5052"/>
    </row>
    <row r="5053" spans="1:2">
      <c r="A5053" s="55"/>
      <c r="B5053"/>
    </row>
    <row r="5054" spans="1:2">
      <c r="A5054" s="55"/>
      <c r="B5054"/>
    </row>
    <row r="5055" spans="1:2">
      <c r="A5055" s="55"/>
      <c r="B5055"/>
    </row>
    <row r="5056" spans="1:2">
      <c r="A5056" s="55"/>
      <c r="B5056"/>
    </row>
    <row r="5057" spans="1:2">
      <c r="A5057" s="55"/>
      <c r="B5057"/>
    </row>
    <row r="5058" spans="1:2">
      <c r="A5058" s="55"/>
      <c r="B5058"/>
    </row>
    <row r="5059" spans="1:2">
      <c r="A5059" s="55"/>
      <c r="B5059"/>
    </row>
    <row r="5060" spans="1:2">
      <c r="A5060" s="55"/>
      <c r="B5060"/>
    </row>
    <row r="5061" spans="1:2">
      <c r="A5061" s="55"/>
      <c r="B5061"/>
    </row>
    <row r="5062" spans="1:2">
      <c r="A5062" s="55"/>
      <c r="B5062"/>
    </row>
    <row r="5063" spans="1:2">
      <c r="A5063" s="55"/>
      <c r="B5063"/>
    </row>
    <row r="5064" spans="1:2">
      <c r="A5064" s="55"/>
      <c r="B5064"/>
    </row>
    <row r="5065" spans="1:2">
      <c r="A5065" s="55"/>
      <c r="B5065"/>
    </row>
    <row r="5066" spans="1:2">
      <c r="A5066" s="55"/>
      <c r="B5066"/>
    </row>
    <row r="5067" spans="1:2">
      <c r="A5067" s="55"/>
      <c r="B5067"/>
    </row>
    <row r="5068" spans="1:2">
      <c r="A5068" s="55"/>
      <c r="B5068"/>
    </row>
    <row r="5069" spans="1:2">
      <c r="A5069" s="55"/>
      <c r="B5069"/>
    </row>
    <row r="5070" spans="1:2">
      <c r="A5070" s="55"/>
      <c r="B5070"/>
    </row>
    <row r="5071" spans="1:2">
      <c r="A5071" s="55"/>
      <c r="B5071"/>
    </row>
    <row r="5072" spans="1:2">
      <c r="A5072" s="55"/>
      <c r="B5072"/>
    </row>
    <row r="5073" spans="1:2">
      <c r="A5073" s="55"/>
      <c r="B5073"/>
    </row>
    <row r="5074" spans="1:2">
      <c r="A5074" s="55"/>
      <c r="B5074"/>
    </row>
    <row r="5075" spans="1:2">
      <c r="A5075" s="55"/>
      <c r="B5075"/>
    </row>
    <row r="5076" spans="1:2">
      <c r="A5076" s="55"/>
      <c r="B5076"/>
    </row>
    <row r="5077" spans="1:2">
      <c r="A5077" s="55"/>
      <c r="B5077"/>
    </row>
    <row r="5078" spans="1:2">
      <c r="A5078" s="55"/>
      <c r="B5078"/>
    </row>
    <row r="5079" spans="1:2">
      <c r="A5079" s="55"/>
      <c r="B5079"/>
    </row>
    <row r="5080" spans="1:2">
      <c r="A5080" s="55"/>
      <c r="B5080"/>
    </row>
    <row r="5081" spans="1:2">
      <c r="A5081" s="55"/>
      <c r="B5081"/>
    </row>
    <row r="5082" spans="1:2">
      <c r="A5082" s="55"/>
      <c r="B5082"/>
    </row>
    <row r="5083" spans="1:2">
      <c r="A5083" s="55"/>
      <c r="B5083"/>
    </row>
    <row r="5084" spans="1:2">
      <c r="A5084" s="55"/>
      <c r="B5084"/>
    </row>
    <row r="5085" spans="1:2">
      <c r="A5085" s="55"/>
      <c r="B5085"/>
    </row>
    <row r="5086" spans="1:2">
      <c r="A5086" s="55"/>
      <c r="B5086"/>
    </row>
    <row r="5087" spans="1:2">
      <c r="A5087" s="55"/>
      <c r="B5087"/>
    </row>
    <row r="5088" spans="1:2">
      <c r="A5088" s="55"/>
      <c r="B5088"/>
    </row>
    <row r="5089" spans="1:2">
      <c r="A5089" s="55"/>
      <c r="B5089"/>
    </row>
    <row r="5090" spans="1:2">
      <c r="A5090" s="55"/>
      <c r="B5090"/>
    </row>
    <row r="5091" spans="1:2">
      <c r="A5091" s="55"/>
      <c r="B5091"/>
    </row>
    <row r="5092" spans="1:2">
      <c r="A5092" s="55"/>
      <c r="B5092"/>
    </row>
    <row r="5093" spans="1:2">
      <c r="A5093" s="55"/>
      <c r="B5093"/>
    </row>
    <row r="5094" spans="1:2">
      <c r="A5094" s="55"/>
      <c r="B5094"/>
    </row>
    <row r="5095" spans="1:2">
      <c r="A5095" s="55"/>
      <c r="B5095"/>
    </row>
    <row r="5096" spans="1:2">
      <c r="A5096" s="55"/>
      <c r="B5096"/>
    </row>
    <row r="5097" spans="1:2">
      <c r="A5097" s="55"/>
      <c r="B5097"/>
    </row>
    <row r="5098" spans="1:2">
      <c r="A5098" s="55"/>
      <c r="B5098"/>
    </row>
    <row r="5099" spans="1:2">
      <c r="A5099" s="55"/>
      <c r="B5099"/>
    </row>
    <row r="5100" spans="1:2">
      <c r="A5100" s="55"/>
      <c r="B5100"/>
    </row>
    <row r="5101" spans="1:2">
      <c r="A5101" s="55"/>
      <c r="B5101"/>
    </row>
    <row r="5102" spans="1:2">
      <c r="A5102" s="55"/>
      <c r="B5102"/>
    </row>
    <row r="5103" spans="1:2">
      <c r="A5103" s="55"/>
      <c r="B5103"/>
    </row>
    <row r="5104" spans="1:2">
      <c r="A5104" s="55"/>
      <c r="B5104"/>
    </row>
    <row r="5105" spans="1:2">
      <c r="A5105" s="55"/>
      <c r="B5105"/>
    </row>
    <row r="5106" spans="1:2">
      <c r="A5106" s="55"/>
      <c r="B5106"/>
    </row>
    <row r="5107" spans="1:2">
      <c r="A5107" s="55"/>
      <c r="B5107"/>
    </row>
    <row r="5108" spans="1:2">
      <c r="A5108" s="55"/>
      <c r="B5108"/>
    </row>
    <row r="5109" spans="1:2">
      <c r="A5109" s="55"/>
      <c r="B5109"/>
    </row>
    <row r="5110" spans="1:2">
      <c r="A5110" s="55"/>
      <c r="B5110"/>
    </row>
    <row r="5111" spans="1:2">
      <c r="A5111" s="55"/>
      <c r="B5111"/>
    </row>
    <row r="5112" spans="1:2">
      <c r="A5112" s="55"/>
      <c r="B5112"/>
    </row>
    <row r="5113" spans="1:2">
      <c r="A5113" s="55"/>
      <c r="B5113"/>
    </row>
    <row r="5114" spans="1:2">
      <c r="A5114" s="55"/>
      <c r="B5114"/>
    </row>
    <row r="5115" spans="1:2">
      <c r="A5115" s="55"/>
      <c r="B5115"/>
    </row>
    <row r="5116" spans="1:2">
      <c r="A5116" s="55"/>
      <c r="B5116"/>
    </row>
    <row r="5117" spans="1:2">
      <c r="A5117" s="55"/>
      <c r="B5117"/>
    </row>
    <row r="5118" spans="1:2">
      <c r="A5118" s="55"/>
      <c r="B5118"/>
    </row>
    <row r="5119" spans="1:2">
      <c r="A5119" s="55"/>
      <c r="B5119"/>
    </row>
    <row r="5120" spans="1:2">
      <c r="A5120" s="55"/>
      <c r="B5120"/>
    </row>
    <row r="5121" spans="1:2">
      <c r="A5121" s="55"/>
      <c r="B5121"/>
    </row>
    <row r="5122" spans="1:2">
      <c r="A5122" s="55"/>
      <c r="B5122"/>
    </row>
    <row r="5123" spans="1:2">
      <c r="A5123" s="55"/>
      <c r="B5123"/>
    </row>
    <row r="5124" spans="1:2">
      <c r="A5124" s="55"/>
      <c r="B5124"/>
    </row>
    <row r="5125" spans="1:2">
      <c r="A5125" s="55"/>
      <c r="B5125"/>
    </row>
    <row r="5126" spans="1:2">
      <c r="A5126" s="55"/>
      <c r="B5126"/>
    </row>
    <row r="5127" spans="1:2">
      <c r="A5127" s="55"/>
      <c r="B5127"/>
    </row>
    <row r="5128" spans="1:2">
      <c r="A5128" s="55"/>
      <c r="B5128"/>
    </row>
    <row r="5129" spans="1:2">
      <c r="A5129" s="55"/>
      <c r="B5129"/>
    </row>
    <row r="5130" spans="1:2">
      <c r="A5130" s="55"/>
      <c r="B5130"/>
    </row>
    <row r="5131" spans="1:2">
      <c r="A5131" s="55"/>
      <c r="B5131"/>
    </row>
    <row r="5132" spans="1:2">
      <c r="A5132" s="55"/>
      <c r="B5132"/>
    </row>
    <row r="5133" spans="1:2">
      <c r="A5133" s="55"/>
      <c r="B5133"/>
    </row>
    <row r="5134" spans="1:2">
      <c r="A5134" s="55"/>
      <c r="B5134"/>
    </row>
    <row r="5135" spans="1:2">
      <c r="A5135" s="55"/>
      <c r="B5135"/>
    </row>
    <row r="5136" spans="1:2">
      <c r="A5136" s="55"/>
      <c r="B5136"/>
    </row>
    <row r="5137" spans="1:2">
      <c r="A5137" s="55"/>
      <c r="B5137"/>
    </row>
    <row r="5138" spans="1:2">
      <c r="A5138" s="55"/>
      <c r="B5138"/>
    </row>
    <row r="5139" spans="1:2">
      <c r="A5139" s="55"/>
      <c r="B5139"/>
    </row>
    <row r="5140" spans="1:2">
      <c r="A5140" s="55"/>
      <c r="B5140"/>
    </row>
    <row r="5141" spans="1:2">
      <c r="A5141" s="55"/>
      <c r="B5141"/>
    </row>
    <row r="5142" spans="1:2">
      <c r="A5142" s="55"/>
      <c r="B5142"/>
    </row>
    <row r="5143" spans="1:2">
      <c r="A5143" s="55"/>
      <c r="B5143"/>
    </row>
    <row r="5144" spans="1:2">
      <c r="A5144" s="55"/>
      <c r="B5144"/>
    </row>
    <row r="5145" spans="1:2">
      <c r="A5145" s="55"/>
      <c r="B5145"/>
    </row>
    <row r="5146" spans="1:2">
      <c r="A5146" s="55"/>
      <c r="B5146"/>
    </row>
    <row r="5147" spans="1:2">
      <c r="A5147" s="55"/>
      <c r="B5147"/>
    </row>
    <row r="5148" spans="1:2">
      <c r="A5148" s="55"/>
      <c r="B5148"/>
    </row>
    <row r="5149" spans="1:2">
      <c r="A5149" s="55"/>
      <c r="B5149"/>
    </row>
    <row r="5150" spans="1:2">
      <c r="A5150" s="55"/>
      <c r="B5150"/>
    </row>
    <row r="5151" spans="1:2">
      <c r="A5151" s="55"/>
      <c r="B5151"/>
    </row>
    <row r="5152" spans="1:2">
      <c r="A5152" s="55"/>
      <c r="B5152"/>
    </row>
    <row r="5153" spans="1:2">
      <c r="A5153" s="55"/>
      <c r="B5153"/>
    </row>
    <row r="5154" spans="1:2">
      <c r="A5154" s="55"/>
      <c r="B5154"/>
    </row>
    <row r="5155" spans="1:2">
      <c r="A5155" s="55"/>
      <c r="B5155"/>
    </row>
    <row r="5156" spans="1:2">
      <c r="A5156" s="55"/>
      <c r="B5156"/>
    </row>
    <row r="5157" spans="1:2">
      <c r="A5157" s="55"/>
      <c r="B5157"/>
    </row>
    <row r="5158" spans="1:2">
      <c r="A5158" s="55"/>
      <c r="B5158"/>
    </row>
    <row r="5159" spans="1:2">
      <c r="A5159" s="55"/>
      <c r="B5159"/>
    </row>
    <row r="5160" spans="1:2">
      <c r="A5160" s="55"/>
      <c r="B5160"/>
    </row>
    <row r="5161" spans="1:2">
      <c r="A5161" s="55"/>
      <c r="B5161"/>
    </row>
    <row r="5162" spans="1:2">
      <c r="A5162" s="55"/>
      <c r="B5162"/>
    </row>
    <row r="5163" spans="1:2">
      <c r="A5163" s="55"/>
      <c r="B5163"/>
    </row>
    <row r="5164" spans="1:2">
      <c r="A5164" s="55"/>
      <c r="B5164"/>
    </row>
    <row r="5165" spans="1:2">
      <c r="A5165" s="55"/>
      <c r="B5165"/>
    </row>
    <row r="5166" spans="1:2">
      <c r="A5166" s="55"/>
      <c r="B5166"/>
    </row>
    <row r="5167" spans="1:2">
      <c r="A5167" s="55"/>
      <c r="B5167"/>
    </row>
    <row r="5168" spans="1:2">
      <c r="A5168" s="55"/>
      <c r="B5168"/>
    </row>
    <row r="5169" spans="1:2">
      <c r="A5169" s="55"/>
      <c r="B5169"/>
    </row>
    <row r="5170" spans="1:2">
      <c r="A5170" s="55"/>
      <c r="B5170"/>
    </row>
    <row r="5171" spans="1:2">
      <c r="A5171" s="55"/>
      <c r="B5171"/>
    </row>
    <row r="5172" spans="1:2">
      <c r="A5172" s="55"/>
      <c r="B5172"/>
    </row>
    <row r="5173" spans="1:2">
      <c r="A5173" s="55"/>
      <c r="B5173"/>
    </row>
    <row r="5174" spans="1:2">
      <c r="A5174" s="55"/>
      <c r="B5174"/>
    </row>
    <row r="5175" spans="1:2">
      <c r="A5175" s="55"/>
      <c r="B5175"/>
    </row>
    <row r="5176" spans="1:2">
      <c r="A5176" s="55"/>
      <c r="B5176"/>
    </row>
    <row r="5177" spans="1:2">
      <c r="A5177" s="55"/>
      <c r="B5177"/>
    </row>
    <row r="5178" spans="1:2">
      <c r="A5178" s="55"/>
      <c r="B5178"/>
    </row>
    <row r="5179" spans="1:2">
      <c r="A5179" s="55"/>
      <c r="B5179"/>
    </row>
    <row r="5180" spans="1:2">
      <c r="A5180" s="55"/>
      <c r="B5180"/>
    </row>
    <row r="5181" spans="1:2">
      <c r="A5181" s="55"/>
      <c r="B5181"/>
    </row>
    <row r="5182" spans="1:2">
      <c r="A5182" s="55"/>
      <c r="B5182"/>
    </row>
    <row r="5183" spans="1:2">
      <c r="A5183" s="55"/>
      <c r="B5183"/>
    </row>
    <row r="5184" spans="1:2">
      <c r="A5184" s="55"/>
      <c r="B5184"/>
    </row>
    <row r="5185" spans="1:2">
      <c r="A5185" s="55"/>
      <c r="B5185"/>
    </row>
    <row r="5186" spans="1:2">
      <c r="A5186" s="55"/>
      <c r="B5186"/>
    </row>
    <row r="5187" spans="1:2">
      <c r="A5187" s="55"/>
      <c r="B5187"/>
    </row>
    <row r="5188" spans="1:2">
      <c r="A5188" s="55"/>
      <c r="B5188"/>
    </row>
    <row r="5189" spans="1:2">
      <c r="A5189" s="55"/>
      <c r="B5189"/>
    </row>
    <row r="5190" spans="1:2">
      <c r="A5190" s="55"/>
      <c r="B5190"/>
    </row>
    <row r="5191" spans="1:2">
      <c r="A5191" s="55"/>
      <c r="B5191"/>
    </row>
    <row r="5192" spans="1:2">
      <c r="A5192" s="55"/>
      <c r="B5192"/>
    </row>
    <row r="5193" spans="1:2">
      <c r="A5193" s="55"/>
      <c r="B5193"/>
    </row>
    <row r="5194" spans="1:2">
      <c r="A5194" s="55"/>
      <c r="B5194"/>
    </row>
    <row r="5195" spans="1:2">
      <c r="A5195" s="55"/>
      <c r="B5195"/>
    </row>
    <row r="5196" spans="1:2">
      <c r="A5196" s="55"/>
      <c r="B5196"/>
    </row>
    <row r="5197" spans="1:2">
      <c r="A5197" s="55"/>
      <c r="B5197"/>
    </row>
    <row r="5198" spans="1:2">
      <c r="A5198" s="55"/>
      <c r="B5198"/>
    </row>
    <row r="5199" spans="1:2">
      <c r="A5199" s="55"/>
      <c r="B5199"/>
    </row>
    <row r="5200" spans="1:2">
      <c r="A5200" s="55"/>
      <c r="B5200"/>
    </row>
    <row r="5201" spans="1:2">
      <c r="A5201" s="55"/>
      <c r="B5201"/>
    </row>
    <row r="5202" spans="1:2">
      <c r="A5202" s="55"/>
      <c r="B5202"/>
    </row>
    <row r="5203" spans="1:2">
      <c r="A5203" s="55"/>
      <c r="B5203"/>
    </row>
    <row r="5204" spans="1:2">
      <c r="A5204" s="55"/>
      <c r="B5204"/>
    </row>
    <row r="5205" spans="1:2">
      <c r="A5205" s="55"/>
      <c r="B5205"/>
    </row>
    <row r="5206" spans="1:2">
      <c r="A5206" s="55"/>
      <c r="B5206"/>
    </row>
    <row r="5207" spans="1:2">
      <c r="A5207" s="55"/>
      <c r="B5207"/>
    </row>
    <row r="5208" spans="1:2">
      <c r="A5208" s="55"/>
      <c r="B5208"/>
    </row>
    <row r="5209" spans="1:2">
      <c r="A5209" s="55"/>
      <c r="B5209"/>
    </row>
    <row r="5210" spans="1:2">
      <c r="A5210" s="55"/>
      <c r="B5210"/>
    </row>
    <row r="5211" spans="1:2">
      <c r="A5211" s="55"/>
      <c r="B5211"/>
    </row>
    <row r="5212" spans="1:2">
      <c r="A5212" s="55"/>
      <c r="B5212"/>
    </row>
    <row r="5213" spans="1:2">
      <c r="A5213" s="55"/>
      <c r="B5213"/>
    </row>
    <row r="5214" spans="1:2">
      <c r="A5214" s="55"/>
      <c r="B5214"/>
    </row>
    <row r="5215" spans="1:2">
      <c r="A5215" s="55"/>
      <c r="B5215"/>
    </row>
    <row r="5216" spans="1:2">
      <c r="A5216" s="55"/>
      <c r="B5216"/>
    </row>
    <row r="5217" spans="1:2">
      <c r="A5217" s="55"/>
      <c r="B5217"/>
    </row>
    <row r="5218" spans="1:2">
      <c r="A5218" s="55"/>
      <c r="B5218"/>
    </row>
    <row r="5219" spans="1:2">
      <c r="A5219" s="55"/>
      <c r="B5219"/>
    </row>
    <row r="5220" spans="1:2">
      <c r="A5220" s="55"/>
      <c r="B5220"/>
    </row>
    <row r="5221" spans="1:2">
      <c r="A5221" s="55"/>
      <c r="B5221"/>
    </row>
    <row r="5222" spans="1:2">
      <c r="A5222" s="55"/>
      <c r="B5222"/>
    </row>
    <row r="5223" spans="1:2">
      <c r="A5223" s="55"/>
      <c r="B5223"/>
    </row>
    <row r="5224" spans="1:2">
      <c r="A5224" s="55"/>
      <c r="B5224"/>
    </row>
    <row r="5225" spans="1:2">
      <c r="A5225" s="55"/>
      <c r="B5225"/>
    </row>
    <row r="5226" spans="1:2">
      <c r="A5226" s="55"/>
      <c r="B5226"/>
    </row>
    <row r="5227" spans="1:2">
      <c r="A5227" s="55"/>
      <c r="B5227"/>
    </row>
    <row r="5228" spans="1:2">
      <c r="A5228" s="55"/>
      <c r="B5228"/>
    </row>
    <row r="5229" spans="1:2">
      <c r="A5229" s="55"/>
      <c r="B5229"/>
    </row>
    <row r="5230" spans="1:2">
      <c r="A5230" s="55"/>
      <c r="B5230"/>
    </row>
    <row r="5231" spans="1:2">
      <c r="A5231" s="55"/>
      <c r="B5231"/>
    </row>
    <row r="5232" spans="1:2">
      <c r="A5232" s="55"/>
      <c r="B5232"/>
    </row>
    <row r="5233" spans="1:2">
      <c r="A5233" s="55"/>
      <c r="B5233"/>
    </row>
    <row r="5234" spans="1:2">
      <c r="A5234" s="55"/>
      <c r="B5234"/>
    </row>
    <row r="5235" spans="1:2">
      <c r="A5235" s="55"/>
      <c r="B5235"/>
    </row>
    <row r="5236" spans="1:2">
      <c r="A5236" s="55"/>
      <c r="B5236"/>
    </row>
    <row r="5237" spans="1:2">
      <c r="A5237" s="55"/>
      <c r="B5237"/>
    </row>
    <row r="5238" spans="1:2">
      <c r="A5238" s="55"/>
      <c r="B5238"/>
    </row>
    <row r="5239" spans="1:2">
      <c r="A5239" s="55"/>
      <c r="B5239"/>
    </row>
    <row r="5240" spans="1:2">
      <c r="A5240" s="55"/>
      <c r="B5240"/>
    </row>
    <row r="5241" spans="1:2">
      <c r="A5241" s="55"/>
      <c r="B5241"/>
    </row>
    <row r="5242" spans="1:2">
      <c r="A5242" s="55"/>
      <c r="B5242"/>
    </row>
    <row r="5243" spans="1:2">
      <c r="A5243" s="55"/>
      <c r="B5243"/>
    </row>
    <row r="5244" spans="1:2">
      <c r="A5244" s="55"/>
      <c r="B5244"/>
    </row>
    <row r="5245" spans="1:2">
      <c r="A5245" s="55"/>
      <c r="B5245"/>
    </row>
    <row r="5246" spans="1:2">
      <c r="A5246" s="55"/>
      <c r="B5246"/>
    </row>
    <row r="5247" spans="1:2">
      <c r="A5247" s="55"/>
      <c r="B5247"/>
    </row>
    <row r="5248" spans="1:2">
      <c r="A5248" s="55"/>
      <c r="B5248"/>
    </row>
    <row r="5249" spans="1:2">
      <c r="A5249" s="55"/>
      <c r="B5249"/>
    </row>
    <row r="5250" spans="1:2">
      <c r="A5250" s="55"/>
      <c r="B5250"/>
    </row>
    <row r="5251" spans="1:2">
      <c r="A5251" s="55"/>
      <c r="B5251"/>
    </row>
    <row r="5252" spans="1:2">
      <c r="A5252" s="55"/>
      <c r="B5252"/>
    </row>
    <row r="5253" spans="1:2">
      <c r="A5253" s="55"/>
      <c r="B5253"/>
    </row>
    <row r="5254" spans="1:2">
      <c r="A5254" s="55"/>
      <c r="B5254"/>
    </row>
    <row r="5255" spans="1:2">
      <c r="A5255" s="55"/>
      <c r="B5255"/>
    </row>
    <row r="5256" spans="1:2">
      <c r="A5256" s="55"/>
      <c r="B5256"/>
    </row>
    <row r="5257" spans="1:2">
      <c r="A5257" s="55"/>
      <c r="B5257"/>
    </row>
    <row r="5258" spans="1:2">
      <c r="A5258" s="55"/>
      <c r="B5258"/>
    </row>
    <row r="5259" spans="1:2">
      <c r="A5259" s="55"/>
      <c r="B5259"/>
    </row>
    <row r="5260" spans="1:2">
      <c r="A5260" s="55"/>
      <c r="B5260"/>
    </row>
    <row r="5261" spans="1:2">
      <c r="A5261" s="55"/>
      <c r="B5261"/>
    </row>
    <row r="5262" spans="1:2">
      <c r="A5262" s="55"/>
      <c r="B5262"/>
    </row>
    <row r="5263" spans="1:2">
      <c r="A5263" s="55"/>
      <c r="B5263"/>
    </row>
    <row r="5264" spans="1:2">
      <c r="A5264" s="55"/>
      <c r="B5264"/>
    </row>
    <row r="5265" spans="1:2">
      <c r="A5265" s="55"/>
      <c r="B5265"/>
    </row>
    <row r="5266" spans="1:2">
      <c r="A5266" s="55"/>
      <c r="B5266"/>
    </row>
    <row r="5267" spans="1:2">
      <c r="A5267" s="55"/>
      <c r="B5267"/>
    </row>
    <row r="5268" spans="1:2">
      <c r="A5268" s="55"/>
      <c r="B5268"/>
    </row>
    <row r="5269" spans="1:2">
      <c r="A5269" s="55"/>
      <c r="B5269"/>
    </row>
    <row r="5270" spans="1:2">
      <c r="A5270" s="55"/>
      <c r="B5270"/>
    </row>
    <row r="5271" spans="1:2">
      <c r="A5271" s="55"/>
      <c r="B5271"/>
    </row>
    <row r="5272" spans="1:2">
      <c r="A5272" s="55"/>
      <c r="B5272"/>
    </row>
    <row r="5273" spans="1:2">
      <c r="A5273" s="55"/>
      <c r="B5273"/>
    </row>
    <row r="5274" spans="1:2">
      <c r="A5274" s="55"/>
      <c r="B5274"/>
    </row>
    <row r="5275" spans="1:2">
      <c r="A5275" s="55"/>
      <c r="B5275"/>
    </row>
    <row r="5276" spans="1:2">
      <c r="A5276" s="55"/>
      <c r="B5276"/>
    </row>
    <row r="5277" spans="1:2">
      <c r="A5277" s="55"/>
      <c r="B5277"/>
    </row>
    <row r="5278" spans="1:2">
      <c r="A5278" s="55"/>
      <c r="B5278"/>
    </row>
    <row r="5279" spans="1:2">
      <c r="A5279" s="55"/>
      <c r="B5279"/>
    </row>
    <row r="5280" spans="1:2">
      <c r="A5280" s="55"/>
      <c r="B5280"/>
    </row>
    <row r="5281" spans="1:2">
      <c r="A5281" s="55"/>
      <c r="B5281"/>
    </row>
    <row r="5282" spans="1:2">
      <c r="A5282" s="55"/>
      <c r="B5282"/>
    </row>
    <row r="5283" spans="1:2">
      <c r="A5283" s="55"/>
      <c r="B5283"/>
    </row>
    <row r="5284" spans="1:2">
      <c r="A5284" s="55"/>
      <c r="B5284"/>
    </row>
    <row r="5285" spans="1:2">
      <c r="A5285" s="55"/>
      <c r="B5285"/>
    </row>
    <row r="5286" spans="1:2">
      <c r="A5286" s="55"/>
      <c r="B5286"/>
    </row>
    <row r="5287" spans="1:2">
      <c r="A5287" s="55"/>
      <c r="B5287"/>
    </row>
    <row r="5288" spans="1:2">
      <c r="A5288" s="55"/>
      <c r="B5288"/>
    </row>
    <row r="5289" spans="1:2">
      <c r="A5289" s="55"/>
      <c r="B5289"/>
    </row>
    <row r="5290" spans="1:2">
      <c r="A5290" s="55"/>
      <c r="B5290"/>
    </row>
    <row r="5291" spans="1:2">
      <c r="A5291" s="55"/>
      <c r="B5291"/>
    </row>
    <row r="5292" spans="1:2">
      <c r="A5292" s="55"/>
      <c r="B5292"/>
    </row>
    <row r="5293" spans="1:2">
      <c r="A5293" s="55"/>
      <c r="B5293"/>
    </row>
    <row r="5294" spans="1:2">
      <c r="A5294" s="55"/>
      <c r="B5294"/>
    </row>
    <row r="5295" spans="1:2">
      <c r="A5295" s="55"/>
      <c r="B5295"/>
    </row>
    <row r="5296" spans="1:2">
      <c r="A5296" s="55"/>
      <c r="B5296"/>
    </row>
    <row r="5297" spans="1:2">
      <c r="A5297" s="55"/>
      <c r="B5297"/>
    </row>
    <row r="5298" spans="1:2">
      <c r="A5298" s="55"/>
      <c r="B5298"/>
    </row>
    <row r="5299" spans="1:2">
      <c r="A5299" s="55"/>
      <c r="B5299"/>
    </row>
    <row r="5300" spans="1:2">
      <c r="A5300" s="55"/>
      <c r="B5300"/>
    </row>
    <row r="5301" spans="1:2">
      <c r="A5301" s="55"/>
      <c r="B5301"/>
    </row>
    <row r="5302" spans="1:2">
      <c r="A5302" s="55"/>
      <c r="B5302"/>
    </row>
    <row r="5303" spans="1:2">
      <c r="A5303" s="55"/>
      <c r="B5303"/>
    </row>
    <row r="5304" spans="1:2">
      <c r="A5304" s="55"/>
      <c r="B5304"/>
    </row>
    <row r="5305" spans="1:2">
      <c r="A5305" s="55"/>
      <c r="B5305"/>
    </row>
    <row r="5306" spans="1:2">
      <c r="A5306" s="55"/>
      <c r="B5306"/>
    </row>
    <row r="5307" spans="1:2">
      <c r="A5307" s="55"/>
      <c r="B5307"/>
    </row>
    <row r="5308" spans="1:2">
      <c r="A5308" s="55"/>
      <c r="B5308"/>
    </row>
    <row r="5309" spans="1:2">
      <c r="A5309" s="55"/>
      <c r="B5309"/>
    </row>
    <row r="5310" spans="1:2">
      <c r="A5310" s="55"/>
      <c r="B5310"/>
    </row>
    <row r="5311" spans="1:2">
      <c r="A5311" s="55"/>
      <c r="B5311"/>
    </row>
    <row r="5312" spans="1:2">
      <c r="A5312" s="55"/>
      <c r="B5312"/>
    </row>
    <row r="5313" spans="1:2">
      <c r="A5313" s="55"/>
      <c r="B5313"/>
    </row>
    <row r="5314" spans="1:2">
      <c r="A5314" s="55"/>
      <c r="B5314"/>
    </row>
    <row r="5315" spans="1:2">
      <c r="A5315" s="55"/>
      <c r="B5315"/>
    </row>
    <row r="5316" spans="1:2">
      <c r="A5316" s="55"/>
      <c r="B5316"/>
    </row>
    <row r="5317" spans="1:2">
      <c r="A5317" s="55"/>
      <c r="B5317"/>
    </row>
    <row r="5318" spans="1:2">
      <c r="A5318" s="55"/>
      <c r="B5318"/>
    </row>
    <row r="5319" spans="1:2">
      <c r="A5319" s="55"/>
      <c r="B5319"/>
    </row>
    <row r="5320" spans="1:2">
      <c r="A5320" s="55"/>
      <c r="B5320"/>
    </row>
    <row r="5321" spans="1:2">
      <c r="A5321" s="55"/>
      <c r="B5321"/>
    </row>
    <row r="5322" spans="1:2">
      <c r="A5322" s="55"/>
      <c r="B5322"/>
    </row>
    <row r="5323" spans="1:2">
      <c r="A5323" s="55"/>
      <c r="B5323"/>
    </row>
    <row r="5324" spans="1:2">
      <c r="A5324" s="55"/>
      <c r="B5324"/>
    </row>
    <row r="5325" spans="1:2">
      <c r="A5325" s="55"/>
      <c r="B5325"/>
    </row>
    <row r="5326" spans="1:2">
      <c r="A5326" s="55"/>
      <c r="B5326"/>
    </row>
    <row r="5327" spans="1:2">
      <c r="A5327" s="55"/>
      <c r="B5327"/>
    </row>
    <row r="5328" spans="1:2">
      <c r="A5328" s="55"/>
      <c r="B5328"/>
    </row>
    <row r="5329" spans="1:2">
      <c r="A5329" s="55"/>
      <c r="B5329"/>
    </row>
    <row r="5330" spans="1:2">
      <c r="A5330" s="55"/>
      <c r="B5330"/>
    </row>
    <row r="5331" spans="1:2">
      <c r="A5331" s="55"/>
      <c r="B5331"/>
    </row>
    <row r="5332" spans="1:2">
      <c r="A5332" s="55"/>
      <c r="B5332"/>
    </row>
    <row r="5333" spans="1:2">
      <c r="A5333" s="55"/>
      <c r="B5333"/>
    </row>
    <row r="5334" spans="1:2">
      <c r="A5334" s="55"/>
      <c r="B5334"/>
    </row>
    <row r="5335" spans="1:2">
      <c r="A5335" s="55"/>
      <c r="B5335"/>
    </row>
    <row r="5336" spans="1:2">
      <c r="A5336" s="55"/>
      <c r="B5336"/>
    </row>
    <row r="5337" spans="1:2">
      <c r="A5337" s="55"/>
      <c r="B5337"/>
    </row>
    <row r="5338" spans="1:2">
      <c r="A5338" s="55"/>
      <c r="B5338"/>
    </row>
    <row r="5339" spans="1:2">
      <c r="A5339" s="55"/>
      <c r="B5339"/>
    </row>
    <row r="5340" spans="1:2">
      <c r="A5340" s="55"/>
      <c r="B5340"/>
    </row>
    <row r="5341" spans="1:2">
      <c r="A5341" s="55"/>
      <c r="B5341"/>
    </row>
    <row r="5342" spans="1:2">
      <c r="A5342" s="55"/>
      <c r="B5342"/>
    </row>
    <row r="5343" spans="1:2">
      <c r="A5343" s="55"/>
      <c r="B5343"/>
    </row>
    <row r="5344" spans="1:2">
      <c r="A5344" s="55"/>
      <c r="B5344"/>
    </row>
    <row r="5345" spans="1:2">
      <c r="A5345" s="55"/>
      <c r="B5345"/>
    </row>
    <row r="5346" spans="1:2">
      <c r="A5346" s="55"/>
      <c r="B5346"/>
    </row>
    <row r="5347" spans="1:2">
      <c r="A5347" s="55"/>
      <c r="B5347"/>
    </row>
    <row r="5348" spans="1:2">
      <c r="A5348" s="55"/>
      <c r="B5348"/>
    </row>
    <row r="5349" spans="1:2">
      <c r="A5349" s="55"/>
      <c r="B5349"/>
    </row>
    <row r="5350" spans="1:2">
      <c r="A5350" s="55"/>
      <c r="B5350"/>
    </row>
    <row r="5351" spans="1:2">
      <c r="A5351" s="55"/>
      <c r="B5351"/>
    </row>
    <row r="5352" spans="1:2">
      <c r="A5352" s="55"/>
      <c r="B5352"/>
    </row>
    <row r="5353" spans="1:2">
      <c r="A5353" s="55"/>
      <c r="B5353"/>
    </row>
    <row r="5354" spans="1:2">
      <c r="A5354" s="55"/>
      <c r="B5354"/>
    </row>
    <row r="5355" spans="1:2">
      <c r="A5355" s="55"/>
      <c r="B5355"/>
    </row>
    <row r="5356" spans="1:2">
      <c r="A5356" s="55"/>
      <c r="B5356"/>
    </row>
    <row r="5357" spans="1:2">
      <c r="A5357" s="55"/>
      <c r="B5357"/>
    </row>
    <row r="5358" spans="1:2">
      <c r="A5358" s="55"/>
      <c r="B5358"/>
    </row>
    <row r="5359" spans="1:2">
      <c r="A5359" s="55"/>
      <c r="B5359"/>
    </row>
    <row r="5360" spans="1:2">
      <c r="A5360" s="55"/>
      <c r="B5360"/>
    </row>
    <row r="5361" spans="1:2">
      <c r="A5361" s="55"/>
      <c r="B5361"/>
    </row>
    <row r="5362" spans="1:2">
      <c r="A5362" s="55"/>
      <c r="B5362"/>
    </row>
    <row r="5363" spans="1:2">
      <c r="A5363" s="55"/>
      <c r="B5363"/>
    </row>
    <row r="5364" spans="1:2">
      <c r="A5364" s="55"/>
      <c r="B5364"/>
    </row>
    <row r="5365" spans="1:2">
      <c r="A5365" s="55"/>
      <c r="B5365"/>
    </row>
    <row r="5366" spans="1:2">
      <c r="A5366" s="55"/>
      <c r="B5366"/>
    </row>
    <row r="5367" spans="1:2">
      <c r="A5367" s="55"/>
      <c r="B5367"/>
    </row>
    <row r="5368" spans="1:2">
      <c r="A5368" s="55"/>
      <c r="B5368"/>
    </row>
    <row r="5369" spans="1:2">
      <c r="A5369" s="55"/>
      <c r="B5369"/>
    </row>
    <row r="5370" spans="1:2">
      <c r="A5370" s="55"/>
      <c r="B5370"/>
    </row>
    <row r="5371" spans="1:2">
      <c r="A5371" s="55"/>
      <c r="B5371"/>
    </row>
    <row r="5372" spans="1:2">
      <c r="A5372" s="55"/>
      <c r="B5372"/>
    </row>
    <row r="5373" spans="1:2">
      <c r="A5373" s="55"/>
      <c r="B5373"/>
    </row>
    <row r="5374" spans="1:2">
      <c r="A5374" s="55"/>
      <c r="B5374"/>
    </row>
    <row r="5375" spans="1:2">
      <c r="A5375" s="55"/>
      <c r="B5375"/>
    </row>
    <row r="5376" spans="1:2">
      <c r="A5376" s="55"/>
      <c r="B5376"/>
    </row>
    <row r="5377" spans="1:2">
      <c r="A5377" s="55"/>
      <c r="B5377"/>
    </row>
    <row r="5378" spans="1:2">
      <c r="A5378" s="55"/>
      <c r="B5378"/>
    </row>
    <row r="5379" spans="1:2">
      <c r="A5379" s="55"/>
      <c r="B5379"/>
    </row>
    <row r="5380" spans="1:2">
      <c r="A5380" s="55"/>
      <c r="B5380"/>
    </row>
    <row r="5381" spans="1:2">
      <c r="A5381" s="55"/>
      <c r="B5381"/>
    </row>
    <row r="5382" spans="1:2">
      <c r="A5382" s="55"/>
      <c r="B5382"/>
    </row>
    <row r="5383" spans="1:2">
      <c r="A5383" s="55"/>
      <c r="B5383"/>
    </row>
    <row r="5384" spans="1:2">
      <c r="A5384" s="55"/>
      <c r="B5384"/>
    </row>
    <row r="5385" spans="1:2">
      <c r="A5385" s="55"/>
      <c r="B5385"/>
    </row>
    <row r="5386" spans="1:2">
      <c r="A5386" s="55"/>
      <c r="B5386"/>
    </row>
    <row r="5387" spans="1:2">
      <c r="A5387" s="55"/>
      <c r="B5387"/>
    </row>
    <row r="5388" spans="1:2">
      <c r="A5388" s="55"/>
      <c r="B5388"/>
    </row>
    <row r="5389" spans="1:2">
      <c r="A5389" s="55"/>
      <c r="B5389"/>
    </row>
    <row r="5390" spans="1:2">
      <c r="A5390" s="55"/>
      <c r="B5390"/>
    </row>
    <row r="5391" spans="1:2">
      <c r="A5391" s="55"/>
      <c r="B5391"/>
    </row>
    <row r="5392" spans="1:2">
      <c r="A5392" s="55"/>
      <c r="B5392"/>
    </row>
    <row r="5393" spans="1:2">
      <c r="A5393" s="55"/>
      <c r="B5393"/>
    </row>
    <row r="5394" spans="1:2">
      <c r="A5394" s="55"/>
      <c r="B5394"/>
    </row>
    <row r="5395" spans="1:2">
      <c r="A5395" s="55"/>
      <c r="B5395"/>
    </row>
    <row r="5396" spans="1:2">
      <c r="A5396" s="55"/>
      <c r="B5396"/>
    </row>
    <row r="5397" spans="1:2">
      <c r="A5397" s="55"/>
      <c r="B5397"/>
    </row>
    <row r="5398" spans="1:2">
      <c r="A5398" s="55"/>
      <c r="B5398"/>
    </row>
    <row r="5399" spans="1:2">
      <c r="A5399" s="55"/>
      <c r="B5399"/>
    </row>
    <row r="5400" spans="1:2">
      <c r="A5400" s="55"/>
      <c r="B5400"/>
    </row>
    <row r="5401" spans="1:2">
      <c r="A5401" s="55"/>
      <c r="B5401"/>
    </row>
    <row r="5402" spans="1:2">
      <c r="A5402" s="55"/>
      <c r="B5402"/>
    </row>
    <row r="5403" spans="1:2">
      <c r="A5403" s="55"/>
      <c r="B5403"/>
    </row>
    <row r="5404" spans="1:2">
      <c r="A5404" s="55"/>
      <c r="B5404"/>
    </row>
    <row r="5405" spans="1:2">
      <c r="A5405" s="55"/>
      <c r="B5405"/>
    </row>
    <row r="5406" spans="1:2">
      <c r="A5406" s="55"/>
      <c r="B5406"/>
    </row>
    <row r="5407" spans="1:2">
      <c r="A5407" s="55"/>
      <c r="B5407"/>
    </row>
    <row r="5408" spans="1:2">
      <c r="A5408" s="55"/>
      <c r="B5408"/>
    </row>
    <row r="5409" spans="1:2">
      <c r="A5409" s="55"/>
      <c r="B5409"/>
    </row>
    <row r="5410" spans="1:2">
      <c r="A5410" s="55"/>
      <c r="B5410"/>
    </row>
    <row r="5411" spans="1:2">
      <c r="A5411" s="55"/>
      <c r="B5411"/>
    </row>
    <row r="5412" spans="1:2">
      <c r="A5412" s="55"/>
      <c r="B5412"/>
    </row>
    <row r="5413" spans="1:2">
      <c r="A5413" s="55"/>
      <c r="B5413"/>
    </row>
    <row r="5414" spans="1:2">
      <c r="A5414" s="55"/>
      <c r="B5414"/>
    </row>
    <row r="5415" spans="1:2">
      <c r="A5415" s="55"/>
      <c r="B5415"/>
    </row>
    <row r="5416" spans="1:2">
      <c r="A5416" s="55"/>
      <c r="B5416"/>
    </row>
    <row r="5417" spans="1:2">
      <c r="A5417" s="55"/>
      <c r="B5417"/>
    </row>
    <row r="5418" spans="1:2">
      <c r="A5418" s="55"/>
      <c r="B5418"/>
    </row>
    <row r="5419" spans="1:2">
      <c r="A5419" s="55"/>
      <c r="B5419"/>
    </row>
    <row r="5420" spans="1:2">
      <c r="A5420" s="55"/>
      <c r="B5420"/>
    </row>
    <row r="5421" spans="1:2">
      <c r="A5421" s="55"/>
      <c r="B5421"/>
    </row>
    <row r="5422" spans="1:2">
      <c r="A5422" s="55"/>
      <c r="B5422"/>
    </row>
    <row r="5423" spans="1:2">
      <c r="A5423" s="55"/>
      <c r="B5423"/>
    </row>
    <row r="5424" spans="1:2">
      <c r="A5424" s="55"/>
      <c r="B5424"/>
    </row>
    <row r="5425" spans="1:2">
      <c r="A5425" s="55"/>
      <c r="B5425"/>
    </row>
    <row r="5426" spans="1:2">
      <c r="A5426" s="55"/>
      <c r="B5426"/>
    </row>
    <row r="5427" spans="1:2">
      <c r="A5427" s="55"/>
      <c r="B5427"/>
    </row>
    <row r="5428" spans="1:2">
      <c r="A5428" s="55"/>
      <c r="B5428"/>
    </row>
    <row r="5429" spans="1:2">
      <c r="A5429" s="55"/>
      <c r="B5429"/>
    </row>
    <row r="5430" spans="1:2">
      <c r="A5430" s="55"/>
      <c r="B5430"/>
    </row>
    <row r="5431" spans="1:2">
      <c r="A5431" s="55"/>
      <c r="B5431"/>
    </row>
    <row r="5432" spans="1:2">
      <c r="A5432" s="55"/>
      <c r="B5432"/>
    </row>
    <row r="5433" spans="1:2">
      <c r="A5433" s="55"/>
      <c r="B5433"/>
    </row>
    <row r="5434" spans="1:2">
      <c r="A5434" s="55"/>
      <c r="B5434"/>
    </row>
    <row r="5435" spans="1:2">
      <c r="A5435" s="55"/>
      <c r="B5435"/>
    </row>
    <row r="5436" spans="1:2">
      <c r="A5436" s="55"/>
      <c r="B5436"/>
    </row>
    <row r="5437" spans="1:2">
      <c r="A5437" s="55"/>
      <c r="B5437"/>
    </row>
    <row r="5438" spans="1:2">
      <c r="A5438" s="55"/>
      <c r="B5438"/>
    </row>
    <row r="5439" spans="1:2">
      <c r="A5439" s="55"/>
      <c r="B5439"/>
    </row>
    <row r="5440" spans="1:2">
      <c r="A5440" s="55"/>
      <c r="B5440"/>
    </row>
    <row r="5441" spans="1:2">
      <c r="A5441" s="55"/>
      <c r="B5441"/>
    </row>
    <row r="5442" spans="1:2">
      <c r="A5442" s="55"/>
      <c r="B5442"/>
    </row>
    <row r="5443" spans="1:2">
      <c r="A5443" s="55"/>
      <c r="B5443"/>
    </row>
    <row r="5444" spans="1:2">
      <c r="A5444" s="55"/>
      <c r="B5444"/>
    </row>
    <row r="5445" spans="1:2">
      <c r="A5445" s="55"/>
      <c r="B5445"/>
    </row>
    <row r="5446" spans="1:2">
      <c r="A5446" s="55"/>
      <c r="B5446"/>
    </row>
    <row r="5447" spans="1:2">
      <c r="A5447" s="55"/>
      <c r="B5447"/>
    </row>
    <row r="5448" spans="1:2">
      <c r="A5448" s="55"/>
      <c r="B5448"/>
    </row>
    <row r="5449" spans="1:2">
      <c r="A5449" s="55"/>
      <c r="B5449"/>
    </row>
    <row r="5450" spans="1:2">
      <c r="A5450" s="55"/>
      <c r="B5450"/>
    </row>
    <row r="5451" spans="1:2">
      <c r="A5451" s="55"/>
      <c r="B5451"/>
    </row>
    <row r="5452" spans="1:2">
      <c r="A5452" s="55"/>
      <c r="B5452"/>
    </row>
    <row r="5453" spans="1:2">
      <c r="A5453" s="55"/>
      <c r="B5453"/>
    </row>
    <row r="5454" spans="1:2">
      <c r="A5454" s="55"/>
      <c r="B5454"/>
    </row>
    <row r="5455" spans="1:2">
      <c r="A5455" s="55"/>
      <c r="B5455"/>
    </row>
    <row r="5456" spans="1:2">
      <c r="A5456" s="55"/>
      <c r="B5456"/>
    </row>
    <row r="5457" spans="1:2">
      <c r="A5457" s="55"/>
      <c r="B5457"/>
    </row>
    <row r="5458" spans="1:2">
      <c r="A5458" s="55"/>
      <c r="B5458"/>
    </row>
    <row r="5459" spans="1:2">
      <c r="A5459" s="55"/>
      <c r="B5459"/>
    </row>
    <row r="5460" spans="1:2">
      <c r="A5460" s="55"/>
      <c r="B5460"/>
    </row>
    <row r="5461" spans="1:2">
      <c r="A5461" s="55"/>
      <c r="B5461"/>
    </row>
    <row r="5462" spans="1:2">
      <c r="A5462" s="55"/>
      <c r="B5462"/>
    </row>
    <row r="5463" spans="1:2">
      <c r="A5463" s="55"/>
      <c r="B5463"/>
    </row>
    <row r="5464" spans="1:2">
      <c r="A5464" s="55"/>
      <c r="B5464"/>
    </row>
    <row r="5465" spans="1:2">
      <c r="A5465" s="55"/>
      <c r="B5465"/>
    </row>
    <row r="5466" spans="1:2">
      <c r="A5466" s="55"/>
      <c r="B5466"/>
    </row>
    <row r="5467" spans="1:2">
      <c r="A5467" s="55"/>
      <c r="B5467"/>
    </row>
    <row r="5468" spans="1:2">
      <c r="A5468" s="55"/>
      <c r="B5468"/>
    </row>
    <row r="5469" spans="1:2">
      <c r="A5469" s="55"/>
      <c r="B5469"/>
    </row>
    <row r="5470" spans="1:2">
      <c r="A5470" s="55"/>
      <c r="B5470"/>
    </row>
    <row r="5471" spans="1:2">
      <c r="A5471" s="55"/>
      <c r="B5471"/>
    </row>
    <row r="5472" spans="1:2">
      <c r="A5472" s="55"/>
      <c r="B5472"/>
    </row>
    <row r="5473" spans="1:2">
      <c r="A5473" s="55"/>
      <c r="B5473"/>
    </row>
    <row r="5474" spans="1:2">
      <c r="A5474" s="55"/>
      <c r="B5474"/>
    </row>
    <row r="5475" spans="1:2">
      <c r="A5475" s="55"/>
      <c r="B5475"/>
    </row>
    <row r="5476" spans="1:2">
      <c r="A5476" s="55"/>
      <c r="B5476"/>
    </row>
    <row r="5477" spans="1:2">
      <c r="A5477" s="55"/>
      <c r="B5477"/>
    </row>
    <row r="5478" spans="1:2">
      <c r="A5478" s="55"/>
      <c r="B5478"/>
    </row>
    <row r="5479" spans="1:2">
      <c r="A5479" s="55"/>
      <c r="B5479"/>
    </row>
    <row r="5480" spans="1:2">
      <c r="A5480" s="55"/>
      <c r="B5480"/>
    </row>
    <row r="5481" spans="1:2">
      <c r="A5481" s="55"/>
      <c r="B5481"/>
    </row>
    <row r="5482" spans="1:2">
      <c r="A5482" s="55"/>
      <c r="B5482"/>
    </row>
    <row r="5483" spans="1:2">
      <c r="A5483" s="55"/>
      <c r="B5483"/>
    </row>
    <row r="5484" spans="1:2">
      <c r="A5484" s="55"/>
      <c r="B5484"/>
    </row>
    <row r="5485" spans="1:2">
      <c r="A5485" s="55"/>
      <c r="B5485"/>
    </row>
    <row r="5486" spans="1:2">
      <c r="A5486" s="55"/>
      <c r="B5486"/>
    </row>
    <row r="5487" spans="1:2">
      <c r="A5487" s="55"/>
      <c r="B5487"/>
    </row>
    <row r="5488" spans="1:2">
      <c r="A5488" s="55"/>
      <c r="B5488"/>
    </row>
    <row r="5489" spans="1:2">
      <c r="A5489" s="55"/>
      <c r="B5489"/>
    </row>
    <row r="5490" spans="1:2">
      <c r="A5490" s="55"/>
      <c r="B5490"/>
    </row>
    <row r="5491" spans="1:2">
      <c r="A5491" s="55"/>
      <c r="B5491"/>
    </row>
    <row r="5492" spans="1:2">
      <c r="A5492" s="55"/>
      <c r="B5492"/>
    </row>
    <row r="5493" spans="1:2">
      <c r="A5493" s="55"/>
      <c r="B5493"/>
    </row>
    <row r="5494" spans="1:2">
      <c r="A5494" s="55"/>
      <c r="B5494"/>
    </row>
    <row r="5495" spans="1:2">
      <c r="A5495" s="55"/>
      <c r="B5495"/>
    </row>
    <row r="5496" spans="1:2">
      <c r="A5496" s="55"/>
      <c r="B5496"/>
    </row>
    <row r="5497" spans="1:2">
      <c r="A5497" s="55"/>
      <c r="B5497"/>
    </row>
    <row r="5498" spans="1:2">
      <c r="A5498" s="55"/>
      <c r="B5498"/>
    </row>
    <row r="5499" spans="1:2">
      <c r="A5499" s="55"/>
      <c r="B5499"/>
    </row>
    <row r="5500" spans="1:2">
      <c r="A5500" s="55"/>
      <c r="B5500"/>
    </row>
    <row r="5501" spans="1:2">
      <c r="A5501" s="55"/>
      <c r="B5501"/>
    </row>
    <row r="5502" spans="1:2">
      <c r="A5502" s="55"/>
      <c r="B5502"/>
    </row>
    <row r="5503" spans="1:2">
      <c r="A5503" s="55"/>
      <c r="B5503"/>
    </row>
    <row r="5504" spans="1:2">
      <c r="A5504" s="55"/>
      <c r="B5504"/>
    </row>
    <row r="5505" spans="1:2">
      <c r="A5505" s="55"/>
      <c r="B5505"/>
    </row>
    <row r="5506" spans="1:2">
      <c r="A5506" s="55"/>
      <c r="B5506"/>
    </row>
    <row r="5507" spans="1:2">
      <c r="A5507" s="55"/>
      <c r="B5507"/>
    </row>
    <row r="5508" spans="1:2">
      <c r="A5508" s="55"/>
      <c r="B5508"/>
    </row>
    <row r="5509" spans="1:2">
      <c r="A5509" s="55"/>
      <c r="B5509"/>
    </row>
    <row r="5510" spans="1:2">
      <c r="A5510" s="55"/>
      <c r="B5510"/>
    </row>
    <row r="5511" spans="1:2">
      <c r="A5511" s="55"/>
      <c r="B5511"/>
    </row>
    <row r="5512" spans="1:2">
      <c r="A5512" s="55"/>
      <c r="B5512"/>
    </row>
    <row r="5513" spans="1:2">
      <c r="A5513" s="55"/>
      <c r="B5513"/>
    </row>
    <row r="5514" spans="1:2">
      <c r="A5514" s="55"/>
      <c r="B5514"/>
    </row>
    <row r="5515" spans="1:2">
      <c r="A5515" s="55"/>
      <c r="B5515"/>
    </row>
    <row r="5516" spans="1:2">
      <c r="A5516" s="55"/>
      <c r="B5516"/>
    </row>
    <row r="5517" spans="1:2">
      <c r="A5517" s="55"/>
      <c r="B5517"/>
    </row>
    <row r="5518" spans="1:2">
      <c r="A5518" s="55"/>
      <c r="B5518"/>
    </row>
    <row r="5519" spans="1:2">
      <c r="A5519" s="55"/>
      <c r="B5519"/>
    </row>
    <row r="5520" spans="1:2">
      <c r="A5520" s="55"/>
      <c r="B5520"/>
    </row>
    <row r="5521" spans="1:2">
      <c r="A5521" s="55"/>
      <c r="B5521"/>
    </row>
    <row r="5522" spans="1:2">
      <c r="A5522" s="55"/>
      <c r="B5522"/>
    </row>
    <row r="5523" spans="1:2">
      <c r="A5523" s="55"/>
      <c r="B5523"/>
    </row>
    <row r="5524" spans="1:2">
      <c r="A5524" s="55"/>
      <c r="B5524"/>
    </row>
    <row r="5525" spans="1:2">
      <c r="A5525" s="55"/>
      <c r="B5525"/>
    </row>
    <row r="5526" spans="1:2">
      <c r="A5526" s="55"/>
      <c r="B5526"/>
    </row>
    <row r="5527" spans="1:2">
      <c r="A5527" s="55"/>
      <c r="B5527"/>
    </row>
    <row r="5528" spans="1:2">
      <c r="A5528" s="55"/>
      <c r="B5528"/>
    </row>
    <row r="5529" spans="1:2">
      <c r="A5529" s="55"/>
      <c r="B5529"/>
    </row>
    <row r="5530" spans="1:2">
      <c r="A5530" s="55"/>
      <c r="B5530"/>
    </row>
    <row r="5531" spans="1:2">
      <c r="A5531" s="55"/>
      <c r="B5531"/>
    </row>
    <row r="5532" spans="1:2">
      <c r="A5532" s="55"/>
      <c r="B5532"/>
    </row>
    <row r="5533" spans="1:2">
      <c r="A5533" s="55"/>
      <c r="B5533"/>
    </row>
    <row r="5534" spans="1:2">
      <c r="A5534" s="55"/>
      <c r="B5534"/>
    </row>
    <row r="5535" spans="1:2">
      <c r="A5535" s="55"/>
      <c r="B5535"/>
    </row>
    <row r="5536" spans="1:2">
      <c r="A5536" s="55"/>
      <c r="B5536"/>
    </row>
    <row r="5537" spans="1:2">
      <c r="A5537" s="55"/>
      <c r="B5537"/>
    </row>
    <row r="5538" spans="1:2">
      <c r="A5538" s="55"/>
      <c r="B5538"/>
    </row>
    <row r="5539" spans="1:2">
      <c r="A5539" s="55"/>
      <c r="B5539"/>
    </row>
    <row r="5540" spans="1:2">
      <c r="A5540" s="55"/>
      <c r="B5540"/>
    </row>
    <row r="5541" spans="1:2">
      <c r="A5541" s="55"/>
      <c r="B5541"/>
    </row>
    <row r="5542" spans="1:2">
      <c r="A5542" s="55"/>
      <c r="B5542"/>
    </row>
    <row r="5543" spans="1:2">
      <c r="A5543" s="55"/>
      <c r="B5543"/>
    </row>
    <row r="5544" spans="1:2">
      <c r="A5544" s="55"/>
      <c r="B5544"/>
    </row>
    <row r="5545" spans="1:2">
      <c r="A5545" s="55"/>
      <c r="B5545"/>
    </row>
    <row r="5546" spans="1:2">
      <c r="A5546" s="55"/>
      <c r="B5546"/>
    </row>
    <row r="5547" spans="1:2">
      <c r="A5547" s="55"/>
      <c r="B5547"/>
    </row>
    <row r="5548" spans="1:2">
      <c r="A5548" s="55"/>
      <c r="B5548"/>
    </row>
    <row r="5549" spans="1:2">
      <c r="A5549" s="55"/>
      <c r="B5549"/>
    </row>
    <row r="5550" spans="1:2">
      <c r="A5550" s="55"/>
      <c r="B5550"/>
    </row>
    <row r="5551" spans="1:2">
      <c r="A5551" s="55"/>
      <c r="B5551"/>
    </row>
    <row r="5552" spans="1:2">
      <c r="A5552" s="55"/>
      <c r="B5552"/>
    </row>
    <row r="5553" spans="1:2">
      <c r="A5553" s="55"/>
      <c r="B5553"/>
    </row>
    <row r="5554" spans="1:2">
      <c r="A5554" s="55"/>
      <c r="B5554"/>
    </row>
    <row r="5555" spans="1:2">
      <c r="A5555" s="55"/>
      <c r="B5555"/>
    </row>
    <row r="5556" spans="1:2">
      <c r="A5556" s="55"/>
      <c r="B5556"/>
    </row>
    <row r="5557" spans="1:2">
      <c r="A5557" s="55"/>
      <c r="B5557"/>
    </row>
    <row r="5558" spans="1:2">
      <c r="A5558" s="55"/>
      <c r="B5558"/>
    </row>
    <row r="5559" spans="1:2">
      <c r="A5559" s="55"/>
      <c r="B5559"/>
    </row>
    <row r="5560" spans="1:2">
      <c r="A5560" s="55"/>
      <c r="B5560"/>
    </row>
    <row r="5561" spans="1:2">
      <c r="A5561" s="55"/>
      <c r="B5561"/>
    </row>
    <row r="5562" spans="1:2">
      <c r="A5562" s="55"/>
      <c r="B5562"/>
    </row>
    <row r="5563" spans="1:2">
      <c r="A5563" s="55"/>
      <c r="B5563"/>
    </row>
    <row r="5564" spans="1:2">
      <c r="A5564" s="55"/>
      <c r="B5564"/>
    </row>
    <row r="5565" spans="1:2">
      <c r="A5565" s="55"/>
      <c r="B5565"/>
    </row>
    <row r="5566" spans="1:2">
      <c r="A5566" s="55"/>
      <c r="B5566"/>
    </row>
    <row r="5567" spans="1:2">
      <c r="A5567" s="55"/>
      <c r="B5567"/>
    </row>
    <row r="5568" spans="1:2">
      <c r="A5568" s="55"/>
      <c r="B5568"/>
    </row>
    <row r="5569" spans="1:2">
      <c r="A5569" s="55"/>
      <c r="B5569"/>
    </row>
    <row r="5570" spans="1:2">
      <c r="A5570" s="55"/>
      <c r="B5570"/>
    </row>
    <row r="5571" spans="1:2">
      <c r="A5571" s="55"/>
      <c r="B5571"/>
    </row>
    <row r="5572" spans="1:2">
      <c r="A5572" s="55"/>
      <c r="B5572"/>
    </row>
    <row r="5573" spans="1:2">
      <c r="A5573" s="55"/>
      <c r="B5573"/>
    </row>
    <row r="5574" spans="1:2">
      <c r="A5574" s="55"/>
      <c r="B5574"/>
    </row>
    <row r="5575" spans="1:2">
      <c r="A5575" s="55"/>
      <c r="B5575"/>
    </row>
    <row r="5576" spans="1:2">
      <c r="A5576" s="55"/>
      <c r="B5576"/>
    </row>
    <row r="5577" spans="1:2">
      <c r="A5577" s="55"/>
      <c r="B5577"/>
    </row>
    <row r="5578" spans="1:2">
      <c r="A5578" s="55"/>
      <c r="B5578"/>
    </row>
    <row r="5579" spans="1:2">
      <c r="A5579" s="55"/>
      <c r="B5579"/>
    </row>
    <row r="5580" spans="1:2">
      <c r="A5580" s="55"/>
      <c r="B5580"/>
    </row>
    <row r="5581" spans="1:2">
      <c r="A5581" s="55"/>
      <c r="B5581"/>
    </row>
    <row r="5582" spans="1:2">
      <c r="A5582" s="55"/>
      <c r="B5582"/>
    </row>
    <row r="5583" spans="1:2">
      <c r="A5583" s="55"/>
      <c r="B5583"/>
    </row>
    <row r="5584" spans="1:2">
      <c r="A5584" s="55"/>
      <c r="B5584"/>
    </row>
    <row r="5585" spans="1:2">
      <c r="A5585" s="55"/>
      <c r="B5585"/>
    </row>
    <row r="5586" spans="1:2">
      <c r="A5586" s="55"/>
      <c r="B5586"/>
    </row>
    <row r="5587" spans="1:2">
      <c r="A5587" s="55"/>
      <c r="B5587"/>
    </row>
    <row r="5588" spans="1:2">
      <c r="A5588" s="55"/>
      <c r="B5588"/>
    </row>
    <row r="5589" spans="1:2">
      <c r="A5589" s="55"/>
      <c r="B5589"/>
    </row>
    <row r="5590" spans="1:2">
      <c r="A5590" s="55"/>
      <c r="B5590"/>
    </row>
    <row r="5591" spans="1:2">
      <c r="A5591" s="55"/>
      <c r="B5591"/>
    </row>
    <row r="5592" spans="1:2">
      <c r="A5592" s="55"/>
      <c r="B5592"/>
    </row>
    <row r="5593" spans="1:2">
      <c r="A5593" s="55"/>
      <c r="B5593"/>
    </row>
    <row r="5594" spans="1:2">
      <c r="A5594" s="55"/>
      <c r="B5594"/>
    </row>
    <row r="5595" spans="1:2">
      <c r="A5595" s="55"/>
      <c r="B5595"/>
    </row>
    <row r="5596" spans="1:2">
      <c r="A5596" s="55"/>
      <c r="B5596"/>
    </row>
    <row r="5597" spans="1:2">
      <c r="A5597" s="55"/>
      <c r="B5597"/>
    </row>
    <row r="5598" spans="1:2">
      <c r="A5598" s="55"/>
      <c r="B5598"/>
    </row>
    <row r="5599" spans="1:2">
      <c r="A5599" s="55"/>
      <c r="B5599"/>
    </row>
    <row r="5600" spans="1:2">
      <c r="A5600" s="55"/>
      <c r="B5600"/>
    </row>
    <row r="5601" spans="1:2">
      <c r="A5601" s="55"/>
      <c r="B5601"/>
    </row>
    <row r="5602" spans="1:2">
      <c r="A5602" s="55"/>
      <c r="B5602"/>
    </row>
    <row r="5603" spans="1:2">
      <c r="A5603" s="55"/>
      <c r="B5603"/>
    </row>
    <row r="5604" spans="1:2">
      <c r="A5604" s="55"/>
      <c r="B5604"/>
    </row>
    <row r="5605" spans="1:2">
      <c r="A5605" s="55"/>
      <c r="B5605"/>
    </row>
    <row r="5606" spans="1:2">
      <c r="A5606" s="55"/>
      <c r="B5606"/>
    </row>
    <row r="5607" spans="1:2">
      <c r="A5607" s="55"/>
      <c r="B5607"/>
    </row>
    <row r="5608" spans="1:2">
      <c r="A5608" s="55"/>
      <c r="B5608"/>
    </row>
    <row r="5609" spans="1:2">
      <c r="A5609" s="55"/>
      <c r="B5609"/>
    </row>
    <row r="5610" spans="1:2">
      <c r="A5610" s="55"/>
      <c r="B5610"/>
    </row>
    <row r="5611" spans="1:2">
      <c r="A5611" s="55"/>
      <c r="B5611"/>
    </row>
    <row r="5612" spans="1:2">
      <c r="A5612" s="55"/>
      <c r="B5612"/>
    </row>
    <row r="5613" spans="1:2">
      <c r="A5613" s="55"/>
      <c r="B5613"/>
    </row>
    <row r="5614" spans="1:2">
      <c r="A5614" s="55"/>
      <c r="B5614"/>
    </row>
    <row r="5615" spans="1:2">
      <c r="A5615" s="55"/>
      <c r="B5615"/>
    </row>
    <row r="5616" spans="1:2">
      <c r="A5616" s="55"/>
      <c r="B5616"/>
    </row>
    <row r="5617" spans="1:2">
      <c r="A5617" s="55"/>
      <c r="B5617"/>
    </row>
    <row r="5618" spans="1:2">
      <c r="A5618" s="55"/>
      <c r="B5618"/>
    </row>
    <row r="5619" spans="1:2">
      <c r="A5619" s="55"/>
      <c r="B5619"/>
    </row>
    <row r="5620" spans="1:2">
      <c r="A5620" s="55"/>
      <c r="B5620"/>
    </row>
    <row r="5621" spans="1:2">
      <c r="A5621" s="55"/>
      <c r="B5621"/>
    </row>
    <row r="5622" spans="1:2">
      <c r="A5622" s="55"/>
      <c r="B5622"/>
    </row>
    <row r="5623" spans="1:2">
      <c r="A5623" s="55"/>
      <c r="B5623"/>
    </row>
    <row r="5624" spans="1:2">
      <c r="A5624" s="55"/>
      <c r="B5624"/>
    </row>
    <row r="5625" spans="1:2">
      <c r="A5625" s="55"/>
      <c r="B5625"/>
    </row>
    <row r="5626" spans="1:2">
      <c r="A5626" s="55"/>
      <c r="B5626"/>
    </row>
    <row r="5627" spans="1:2">
      <c r="A5627" s="55"/>
      <c r="B5627"/>
    </row>
    <row r="5628" spans="1:2">
      <c r="A5628" s="55"/>
      <c r="B5628"/>
    </row>
    <row r="5629" spans="1:2">
      <c r="A5629" s="55"/>
      <c r="B5629"/>
    </row>
    <row r="5630" spans="1:2">
      <c r="A5630" s="55"/>
      <c r="B5630"/>
    </row>
    <row r="5631" spans="1:2">
      <c r="A5631" s="55"/>
      <c r="B5631"/>
    </row>
    <row r="5632" spans="1:2">
      <c r="A5632" s="55"/>
      <c r="B5632"/>
    </row>
    <row r="5633" spans="1:2">
      <c r="A5633" s="55"/>
      <c r="B5633"/>
    </row>
    <row r="5634" spans="1:2">
      <c r="A5634" s="55"/>
      <c r="B5634"/>
    </row>
    <row r="5635" spans="1:2">
      <c r="A5635" s="55"/>
      <c r="B5635"/>
    </row>
    <row r="5636" spans="1:2">
      <c r="A5636" s="55"/>
      <c r="B5636"/>
    </row>
    <row r="5637" spans="1:2">
      <c r="A5637" s="55"/>
      <c r="B5637"/>
    </row>
    <row r="5638" spans="1:2">
      <c r="A5638" s="55"/>
      <c r="B5638"/>
    </row>
    <row r="5639" spans="1:2">
      <c r="A5639" s="55"/>
      <c r="B5639"/>
    </row>
    <row r="5640" spans="1:2">
      <c r="A5640" s="55"/>
      <c r="B5640"/>
    </row>
    <row r="5641" spans="1:2">
      <c r="A5641" s="55"/>
      <c r="B5641"/>
    </row>
    <row r="5642" spans="1:2">
      <c r="A5642" s="55"/>
      <c r="B5642"/>
    </row>
    <row r="5643" spans="1:2">
      <c r="A5643" s="55"/>
      <c r="B5643"/>
    </row>
    <row r="5644" spans="1:2">
      <c r="A5644" s="55"/>
      <c r="B5644"/>
    </row>
    <row r="5645" spans="1:2">
      <c r="A5645" s="55"/>
      <c r="B5645"/>
    </row>
    <row r="5646" spans="1:2">
      <c r="A5646" s="55"/>
      <c r="B5646"/>
    </row>
    <row r="5647" spans="1:2">
      <c r="A5647" s="55"/>
      <c r="B5647"/>
    </row>
    <row r="5648" spans="1:2">
      <c r="A5648" s="55"/>
      <c r="B5648"/>
    </row>
    <row r="5649" spans="1:2">
      <c r="A5649" s="55"/>
      <c r="B5649"/>
    </row>
    <row r="5650" spans="1:2">
      <c r="A5650" s="55"/>
      <c r="B5650"/>
    </row>
    <row r="5651" spans="1:2">
      <c r="A5651" s="55"/>
      <c r="B5651"/>
    </row>
    <row r="5652" spans="1:2">
      <c r="A5652" s="55"/>
      <c r="B5652"/>
    </row>
    <row r="5653" spans="1:2">
      <c r="A5653" s="55"/>
      <c r="B5653"/>
    </row>
    <row r="5654" spans="1:2">
      <c r="A5654" s="55"/>
      <c r="B5654"/>
    </row>
    <row r="5655" spans="1:2">
      <c r="A5655" s="55"/>
      <c r="B5655"/>
    </row>
    <row r="5656" spans="1:2">
      <c r="A5656" s="55"/>
      <c r="B5656"/>
    </row>
    <row r="5657" spans="1:2">
      <c r="A5657" s="55"/>
      <c r="B5657"/>
    </row>
    <row r="5658" spans="1:2">
      <c r="A5658" s="55"/>
      <c r="B5658"/>
    </row>
    <row r="5659" spans="1:2">
      <c r="A5659" s="55"/>
      <c r="B5659"/>
    </row>
    <row r="5660" spans="1:2">
      <c r="A5660" s="55"/>
      <c r="B5660"/>
    </row>
    <row r="5661" spans="1:2">
      <c r="A5661" s="55"/>
      <c r="B5661"/>
    </row>
    <row r="5662" spans="1:2">
      <c r="A5662" s="55"/>
      <c r="B5662"/>
    </row>
    <row r="5663" spans="1:2">
      <c r="A5663" s="55"/>
      <c r="B5663"/>
    </row>
    <row r="5664" spans="1:2">
      <c r="A5664" s="55"/>
      <c r="B5664"/>
    </row>
    <row r="5665" spans="1:2">
      <c r="A5665" s="55"/>
      <c r="B5665"/>
    </row>
    <row r="5666" spans="1:2">
      <c r="A5666" s="55"/>
      <c r="B5666"/>
    </row>
    <row r="5667" spans="1:2">
      <c r="A5667" s="55"/>
      <c r="B5667"/>
    </row>
    <row r="5668" spans="1:2">
      <c r="A5668" s="55"/>
      <c r="B5668"/>
    </row>
    <row r="5669" spans="1:2">
      <c r="A5669" s="55"/>
      <c r="B5669"/>
    </row>
    <row r="5670" spans="1:2">
      <c r="A5670" s="55"/>
      <c r="B5670"/>
    </row>
    <row r="5671" spans="1:2">
      <c r="A5671" s="55"/>
      <c r="B5671"/>
    </row>
    <row r="5672" spans="1:2">
      <c r="A5672" s="55"/>
      <c r="B5672"/>
    </row>
    <row r="5673" spans="1:2">
      <c r="A5673" s="55"/>
      <c r="B5673"/>
    </row>
    <row r="5674" spans="1:2">
      <c r="A5674" s="55"/>
      <c r="B5674"/>
    </row>
    <row r="5675" spans="1:2">
      <c r="A5675" s="55"/>
      <c r="B5675"/>
    </row>
    <row r="5676" spans="1:2">
      <c r="A5676" s="55"/>
      <c r="B5676"/>
    </row>
    <row r="5677" spans="1:2">
      <c r="A5677" s="55"/>
      <c r="B5677"/>
    </row>
    <row r="5678" spans="1:2">
      <c r="A5678" s="55"/>
      <c r="B5678"/>
    </row>
    <row r="5679" spans="1:2">
      <c r="A5679" s="55"/>
      <c r="B5679"/>
    </row>
    <row r="5680" spans="1:2">
      <c r="A5680" s="55"/>
      <c r="B5680"/>
    </row>
    <row r="5681" spans="1:2">
      <c r="A5681" s="55"/>
      <c r="B5681"/>
    </row>
    <row r="5682" spans="1:2">
      <c r="A5682" s="55"/>
      <c r="B5682"/>
    </row>
    <row r="5683" spans="1:2">
      <c r="A5683" s="55"/>
      <c r="B5683"/>
    </row>
    <row r="5684" spans="1:2">
      <c r="A5684" s="55"/>
      <c r="B5684"/>
    </row>
    <row r="5685" spans="1:2">
      <c r="A5685" s="55"/>
      <c r="B5685"/>
    </row>
    <row r="5686" spans="1:2">
      <c r="A5686" s="55"/>
      <c r="B5686"/>
    </row>
    <row r="5687" spans="1:2">
      <c r="A5687" s="55"/>
      <c r="B5687"/>
    </row>
    <row r="5688" spans="1:2">
      <c r="A5688" s="55"/>
      <c r="B5688"/>
    </row>
    <row r="5689" spans="1:2">
      <c r="A5689" s="55"/>
      <c r="B5689"/>
    </row>
    <row r="5690" spans="1:2">
      <c r="A5690" s="55"/>
      <c r="B5690"/>
    </row>
    <row r="5691" spans="1:2">
      <c r="A5691" s="55"/>
      <c r="B5691"/>
    </row>
    <row r="5692" spans="1:2">
      <c r="A5692" s="55"/>
      <c r="B5692"/>
    </row>
    <row r="5693" spans="1:2">
      <c r="A5693" s="55"/>
      <c r="B5693"/>
    </row>
    <row r="5694" spans="1:2">
      <c r="A5694" s="55"/>
      <c r="B5694"/>
    </row>
    <row r="5695" spans="1:2">
      <c r="A5695" s="55"/>
      <c r="B5695"/>
    </row>
    <row r="5696" spans="1:2">
      <c r="A5696" s="55"/>
      <c r="B5696"/>
    </row>
    <row r="5697" spans="1:2">
      <c r="A5697" s="55"/>
      <c r="B5697"/>
    </row>
    <row r="5698" spans="1:2">
      <c r="A5698" s="55"/>
      <c r="B5698"/>
    </row>
    <row r="5699" spans="1:2">
      <c r="A5699" s="55"/>
      <c r="B5699"/>
    </row>
    <row r="5700" spans="1:2">
      <c r="A5700" s="55"/>
      <c r="B5700"/>
    </row>
    <row r="5701" spans="1:2">
      <c r="A5701" s="55"/>
      <c r="B5701"/>
    </row>
    <row r="5702" spans="1:2">
      <c r="A5702" s="55"/>
      <c r="B5702"/>
    </row>
    <row r="5703" spans="1:2">
      <c r="A5703" s="55"/>
      <c r="B5703"/>
    </row>
    <row r="5704" spans="1:2">
      <c r="A5704" s="55"/>
      <c r="B5704"/>
    </row>
    <row r="5705" spans="1:2">
      <c r="A5705" s="55"/>
      <c r="B5705"/>
    </row>
    <row r="5706" spans="1:2">
      <c r="A5706" s="55"/>
      <c r="B5706"/>
    </row>
    <row r="5707" spans="1:2">
      <c r="A5707" s="55"/>
      <c r="B5707"/>
    </row>
    <row r="5708" spans="1:2">
      <c r="A5708" s="55"/>
      <c r="B5708"/>
    </row>
    <row r="5709" spans="1:2">
      <c r="A5709" s="55"/>
      <c r="B5709"/>
    </row>
    <row r="5710" spans="1:2">
      <c r="A5710" s="55"/>
      <c r="B5710"/>
    </row>
    <row r="5711" spans="1:2">
      <c r="A5711" s="55"/>
      <c r="B5711"/>
    </row>
    <row r="5712" spans="1:2">
      <c r="A5712" s="55"/>
      <c r="B5712"/>
    </row>
    <row r="5713" spans="1:2">
      <c r="A5713" s="55"/>
      <c r="B5713"/>
    </row>
    <row r="5714" spans="1:2">
      <c r="A5714" s="55"/>
      <c r="B5714"/>
    </row>
    <row r="5715" spans="1:2">
      <c r="A5715" s="55"/>
      <c r="B5715"/>
    </row>
    <row r="5716" spans="1:2">
      <c r="A5716" s="55"/>
      <c r="B5716"/>
    </row>
    <row r="5717" spans="1:2">
      <c r="A5717" s="55"/>
      <c r="B5717"/>
    </row>
    <row r="5718" spans="1:2">
      <c r="A5718" s="55"/>
      <c r="B5718"/>
    </row>
    <row r="5719" spans="1:2">
      <c r="A5719" s="55"/>
      <c r="B5719"/>
    </row>
    <row r="5720" spans="1:2">
      <c r="A5720" s="55"/>
      <c r="B5720"/>
    </row>
    <row r="5721" spans="1:2">
      <c r="A5721" s="55"/>
      <c r="B5721"/>
    </row>
    <row r="5722" spans="1:2">
      <c r="A5722" s="55"/>
      <c r="B5722"/>
    </row>
    <row r="5723" spans="1:2">
      <c r="A5723" s="55"/>
      <c r="B5723"/>
    </row>
    <row r="5724" spans="1:2">
      <c r="A5724" s="55"/>
      <c r="B5724"/>
    </row>
    <row r="5725" spans="1:2">
      <c r="A5725" s="55"/>
      <c r="B5725"/>
    </row>
    <row r="5726" spans="1:2">
      <c r="A5726" s="55"/>
      <c r="B5726"/>
    </row>
    <row r="5727" spans="1:2">
      <c r="A5727" s="55"/>
      <c r="B5727"/>
    </row>
    <row r="5728" spans="1:2">
      <c r="A5728" s="55"/>
      <c r="B5728"/>
    </row>
    <row r="5729" spans="1:2">
      <c r="A5729" s="55"/>
      <c r="B5729"/>
    </row>
    <row r="5730" spans="1:2">
      <c r="A5730" s="55"/>
      <c r="B5730"/>
    </row>
    <row r="5731" spans="1:2">
      <c r="A5731" s="55"/>
      <c r="B5731"/>
    </row>
    <row r="5732" spans="1:2">
      <c r="A5732" s="55"/>
      <c r="B5732"/>
    </row>
    <row r="5733" spans="1:2">
      <c r="A5733" s="55"/>
      <c r="B5733"/>
    </row>
    <row r="5734" spans="1:2">
      <c r="A5734" s="55"/>
      <c r="B5734"/>
    </row>
    <row r="5735" spans="1:2">
      <c r="A5735" s="55"/>
      <c r="B5735"/>
    </row>
    <row r="5736" spans="1:2">
      <c r="A5736" s="55"/>
      <c r="B5736"/>
    </row>
    <row r="5737" spans="1:2">
      <c r="A5737" s="55"/>
      <c r="B5737"/>
    </row>
    <row r="5738" spans="1:2">
      <c r="A5738" s="55"/>
      <c r="B5738"/>
    </row>
    <row r="5739" spans="1:2">
      <c r="A5739" s="55"/>
      <c r="B5739"/>
    </row>
    <row r="5740" spans="1:2">
      <c r="A5740" s="55"/>
      <c r="B5740"/>
    </row>
    <row r="5741" spans="1:2">
      <c r="A5741" s="55"/>
      <c r="B5741"/>
    </row>
    <row r="5742" spans="1:2">
      <c r="A5742" s="55"/>
      <c r="B5742"/>
    </row>
    <row r="5743" spans="1:2">
      <c r="A5743" s="55"/>
      <c r="B5743"/>
    </row>
    <row r="5744" spans="1:2">
      <c r="A5744" s="55"/>
      <c r="B5744"/>
    </row>
    <row r="5745" spans="1:2">
      <c r="A5745" s="55"/>
      <c r="B5745"/>
    </row>
    <row r="5746" spans="1:2">
      <c r="A5746" s="55"/>
      <c r="B5746"/>
    </row>
    <row r="5747" spans="1:2">
      <c r="A5747" s="55"/>
      <c r="B5747"/>
    </row>
    <row r="5748" spans="1:2">
      <c r="A5748" s="55"/>
      <c r="B5748"/>
    </row>
    <row r="5749" spans="1:2">
      <c r="A5749" s="55"/>
      <c r="B5749"/>
    </row>
    <row r="5750" spans="1:2">
      <c r="A5750" s="55"/>
      <c r="B5750"/>
    </row>
    <row r="5751" spans="1:2">
      <c r="A5751" s="55"/>
      <c r="B5751"/>
    </row>
    <row r="5752" spans="1:2">
      <c r="A5752" s="55"/>
      <c r="B5752"/>
    </row>
    <row r="5753" spans="1:2">
      <c r="A5753" s="55"/>
      <c r="B5753"/>
    </row>
    <row r="5754" spans="1:2">
      <c r="A5754" s="55"/>
      <c r="B5754"/>
    </row>
    <row r="5755" spans="1:2">
      <c r="A5755" s="55"/>
      <c r="B5755"/>
    </row>
    <row r="5756" spans="1:2">
      <c r="A5756" s="55"/>
      <c r="B5756"/>
    </row>
    <row r="5757" spans="1:2">
      <c r="A5757" s="55"/>
      <c r="B5757"/>
    </row>
    <row r="5758" spans="1:2">
      <c r="A5758" s="55"/>
      <c r="B5758"/>
    </row>
    <row r="5759" spans="1:2">
      <c r="A5759" s="55"/>
      <c r="B5759"/>
    </row>
    <row r="5760" spans="1:2">
      <c r="A5760" s="55"/>
      <c r="B5760"/>
    </row>
    <row r="5761" spans="1:2">
      <c r="A5761" s="55"/>
      <c r="B5761"/>
    </row>
    <row r="5762" spans="1:2">
      <c r="A5762" s="55"/>
      <c r="B5762"/>
    </row>
    <row r="5763" spans="1:2">
      <c r="A5763" s="55"/>
      <c r="B5763"/>
    </row>
    <row r="5764" spans="1:2">
      <c r="A5764" s="55"/>
      <c r="B5764"/>
    </row>
    <row r="5765" spans="1:2">
      <c r="A5765" s="55"/>
      <c r="B5765"/>
    </row>
    <row r="5766" spans="1:2">
      <c r="A5766" s="55"/>
      <c r="B5766"/>
    </row>
    <row r="5767" spans="1:2">
      <c r="A5767" s="55"/>
      <c r="B5767"/>
    </row>
    <row r="5768" spans="1:2">
      <c r="A5768" s="55"/>
      <c r="B5768"/>
    </row>
    <row r="5769" spans="1:2">
      <c r="A5769" s="55"/>
      <c r="B5769"/>
    </row>
    <row r="5770" spans="1:2">
      <c r="A5770" s="55"/>
      <c r="B5770"/>
    </row>
    <row r="5771" spans="1:2">
      <c r="A5771" s="55"/>
      <c r="B5771"/>
    </row>
    <row r="5772" spans="1:2">
      <c r="A5772" s="55"/>
      <c r="B5772"/>
    </row>
    <row r="5773" spans="1:2">
      <c r="A5773" s="55"/>
      <c r="B5773"/>
    </row>
    <row r="5774" spans="1:2">
      <c r="A5774" s="55"/>
      <c r="B5774"/>
    </row>
    <row r="5775" spans="1:2">
      <c r="A5775" s="55"/>
      <c r="B5775"/>
    </row>
    <row r="5776" spans="1:2">
      <c r="A5776" s="55"/>
      <c r="B5776"/>
    </row>
    <row r="5777" spans="1:2">
      <c r="A5777" s="55"/>
      <c r="B5777"/>
    </row>
    <row r="5778" spans="1:2">
      <c r="A5778" s="55"/>
      <c r="B5778"/>
    </row>
    <row r="5779" spans="1:2">
      <c r="A5779" s="55"/>
      <c r="B5779"/>
    </row>
    <row r="5780" spans="1:2">
      <c r="A5780" s="55"/>
      <c r="B5780"/>
    </row>
    <row r="5781" spans="1:2">
      <c r="A5781" s="55"/>
      <c r="B5781"/>
    </row>
    <row r="5782" spans="1:2">
      <c r="A5782" s="55"/>
      <c r="B5782"/>
    </row>
    <row r="5783" spans="1:2">
      <c r="A5783" s="55"/>
      <c r="B5783"/>
    </row>
    <row r="5784" spans="1:2">
      <c r="A5784" s="55"/>
      <c r="B5784"/>
    </row>
    <row r="5785" spans="1:2">
      <c r="A5785" s="55"/>
      <c r="B5785"/>
    </row>
    <row r="5786" spans="1:2">
      <c r="A5786" s="55"/>
      <c r="B5786"/>
    </row>
    <row r="5787" spans="1:2">
      <c r="A5787" s="55"/>
      <c r="B5787"/>
    </row>
    <row r="5788" spans="1:2">
      <c r="A5788" s="55"/>
      <c r="B5788"/>
    </row>
    <row r="5789" spans="1:2">
      <c r="A5789" s="55"/>
      <c r="B5789"/>
    </row>
    <row r="5790" spans="1:2">
      <c r="A5790" s="55"/>
      <c r="B5790"/>
    </row>
    <row r="5791" spans="1:2">
      <c r="A5791" s="55"/>
      <c r="B5791"/>
    </row>
    <row r="5792" spans="1:2">
      <c r="A5792" s="55"/>
      <c r="B5792"/>
    </row>
    <row r="5793" spans="1:2">
      <c r="A5793" s="55"/>
      <c r="B5793"/>
    </row>
    <row r="5794" spans="1:2">
      <c r="A5794" s="55"/>
      <c r="B5794"/>
    </row>
    <row r="5795" spans="1:2">
      <c r="A5795" s="55"/>
      <c r="B5795"/>
    </row>
    <row r="5796" spans="1:2">
      <c r="A5796" s="55"/>
      <c r="B5796"/>
    </row>
    <row r="5797" spans="1:2">
      <c r="A5797" s="55"/>
      <c r="B5797"/>
    </row>
    <row r="5798" spans="1:2">
      <c r="A5798" s="55"/>
      <c r="B5798"/>
    </row>
    <row r="5799" spans="1:2">
      <c r="A5799" s="55"/>
      <c r="B5799"/>
    </row>
    <row r="5800" spans="1:2">
      <c r="A5800" s="55"/>
      <c r="B5800"/>
    </row>
    <row r="5801" spans="1:2">
      <c r="A5801" s="55"/>
      <c r="B5801"/>
    </row>
    <row r="5802" spans="1:2">
      <c r="A5802" s="55"/>
      <c r="B5802"/>
    </row>
    <row r="5803" spans="1:2">
      <c r="A5803" s="55"/>
      <c r="B5803"/>
    </row>
    <row r="5804" spans="1:2">
      <c r="A5804" s="55"/>
      <c r="B5804"/>
    </row>
    <row r="5805" spans="1:2">
      <c r="A5805" s="55"/>
      <c r="B5805"/>
    </row>
    <row r="5806" spans="1:2">
      <c r="A5806" s="55"/>
      <c r="B5806"/>
    </row>
    <row r="5807" spans="1:2">
      <c r="A5807" s="55"/>
      <c r="B5807"/>
    </row>
    <row r="5808" spans="1:2">
      <c r="A5808" s="55"/>
      <c r="B5808"/>
    </row>
    <row r="5809" spans="1:2">
      <c r="A5809" s="55"/>
      <c r="B5809"/>
    </row>
    <row r="5810" spans="1:2">
      <c r="A5810" s="55"/>
      <c r="B5810"/>
    </row>
    <row r="5811" spans="1:2">
      <c r="A5811" s="55"/>
      <c r="B5811"/>
    </row>
    <row r="5812" spans="1:2">
      <c r="A5812" s="55"/>
      <c r="B5812"/>
    </row>
    <row r="5813" spans="1:2">
      <c r="A5813" s="55"/>
      <c r="B5813"/>
    </row>
    <row r="5814" spans="1:2">
      <c r="A5814" s="55"/>
      <c r="B5814"/>
    </row>
    <row r="5815" spans="1:2">
      <c r="A5815" s="55"/>
      <c r="B5815"/>
    </row>
    <row r="5816" spans="1:2">
      <c r="A5816" s="55"/>
      <c r="B5816"/>
    </row>
    <row r="5817" spans="1:2">
      <c r="A5817" s="55"/>
      <c r="B5817"/>
    </row>
    <row r="5818" spans="1:2">
      <c r="A5818" s="55"/>
      <c r="B5818"/>
    </row>
    <row r="5819" spans="1:2">
      <c r="A5819" s="55"/>
      <c r="B5819"/>
    </row>
    <row r="5820" spans="1:2">
      <c r="A5820" s="55"/>
      <c r="B5820"/>
    </row>
    <row r="5821" spans="1:2">
      <c r="A5821" s="55"/>
      <c r="B5821"/>
    </row>
    <row r="5822" spans="1:2">
      <c r="A5822" s="55"/>
      <c r="B5822"/>
    </row>
    <row r="5823" spans="1:2">
      <c r="A5823" s="55"/>
      <c r="B5823"/>
    </row>
    <row r="5824" spans="1:2">
      <c r="A5824" s="55"/>
      <c r="B5824"/>
    </row>
    <row r="5825" spans="1:2">
      <c r="A5825" s="55"/>
      <c r="B5825"/>
    </row>
    <row r="5826" spans="1:2">
      <c r="A5826" s="55"/>
      <c r="B5826"/>
    </row>
    <row r="5827" spans="1:2">
      <c r="A5827" s="55"/>
      <c r="B5827"/>
    </row>
    <row r="5828" spans="1:2">
      <c r="A5828" s="55"/>
      <c r="B5828"/>
    </row>
    <row r="5829" spans="1:2">
      <c r="A5829" s="55"/>
      <c r="B5829"/>
    </row>
    <row r="5830" spans="1:2">
      <c r="A5830" s="55"/>
      <c r="B5830"/>
    </row>
    <row r="5831" spans="1:2">
      <c r="A5831" s="55"/>
      <c r="B5831"/>
    </row>
    <row r="5832" spans="1:2">
      <c r="A5832" s="55"/>
      <c r="B5832"/>
    </row>
    <row r="5833" spans="1:2">
      <c r="A5833" s="55"/>
      <c r="B5833"/>
    </row>
    <row r="5834" spans="1:2">
      <c r="A5834" s="55"/>
      <c r="B5834"/>
    </row>
    <row r="5835" spans="1:2">
      <c r="A5835" s="55"/>
      <c r="B5835"/>
    </row>
    <row r="5836" spans="1:2">
      <c r="A5836" s="55"/>
      <c r="B5836"/>
    </row>
    <row r="5837" spans="1:2">
      <c r="A5837" s="55"/>
      <c r="B5837"/>
    </row>
    <row r="5838" spans="1:2">
      <c r="A5838" s="55"/>
      <c r="B5838"/>
    </row>
    <row r="5839" spans="1:2">
      <c r="A5839" s="55"/>
      <c r="B5839"/>
    </row>
    <row r="5840" spans="1:2">
      <c r="A5840" s="55"/>
      <c r="B5840"/>
    </row>
    <row r="5841" spans="1:2">
      <c r="A5841" s="55"/>
      <c r="B5841"/>
    </row>
    <row r="5842" spans="1:2">
      <c r="A5842" s="55"/>
      <c r="B5842"/>
    </row>
    <row r="5843" spans="1:2">
      <c r="A5843" s="55"/>
      <c r="B5843"/>
    </row>
    <row r="5844" spans="1:2">
      <c r="A5844" s="55"/>
      <c r="B5844"/>
    </row>
    <row r="5845" spans="1:2">
      <c r="A5845" s="55"/>
      <c r="B5845"/>
    </row>
    <row r="5846" spans="1:2">
      <c r="A5846" s="55"/>
      <c r="B5846"/>
    </row>
    <row r="5847" spans="1:2">
      <c r="A5847" s="55"/>
      <c r="B5847"/>
    </row>
    <row r="5848" spans="1:2">
      <c r="A5848" s="55"/>
      <c r="B5848"/>
    </row>
    <row r="5849" spans="1:2">
      <c r="A5849" s="55"/>
      <c r="B5849"/>
    </row>
    <row r="5850" spans="1:2">
      <c r="A5850" s="55"/>
      <c r="B5850"/>
    </row>
    <row r="5851" spans="1:2">
      <c r="A5851" s="55"/>
      <c r="B5851"/>
    </row>
    <row r="5852" spans="1:2">
      <c r="A5852" s="55"/>
      <c r="B5852"/>
    </row>
    <row r="5853" spans="1:2">
      <c r="A5853" s="55"/>
      <c r="B5853"/>
    </row>
    <row r="5854" spans="1:2">
      <c r="A5854" s="55"/>
      <c r="B5854"/>
    </row>
    <row r="5855" spans="1:2">
      <c r="A5855" s="55"/>
      <c r="B5855"/>
    </row>
    <row r="5856" spans="1:2">
      <c r="A5856" s="55"/>
      <c r="B5856"/>
    </row>
    <row r="5857" spans="1:2">
      <c r="A5857" s="55"/>
      <c r="B5857"/>
    </row>
    <row r="5858" spans="1:2">
      <c r="A5858" s="55"/>
      <c r="B5858"/>
    </row>
    <row r="5859" spans="1:2">
      <c r="A5859" s="55"/>
      <c r="B5859"/>
    </row>
    <row r="5860" spans="1:2">
      <c r="A5860" s="55"/>
      <c r="B5860"/>
    </row>
    <row r="5861" spans="1:2">
      <c r="A5861" s="55"/>
      <c r="B5861"/>
    </row>
    <row r="5862" spans="1:2">
      <c r="A5862" s="55"/>
      <c r="B5862"/>
    </row>
    <row r="5863" spans="1:2">
      <c r="A5863" s="55"/>
      <c r="B5863"/>
    </row>
    <row r="5864" spans="1:2">
      <c r="A5864" s="55"/>
      <c r="B5864"/>
    </row>
    <row r="5865" spans="1:2">
      <c r="A5865" s="55"/>
      <c r="B5865"/>
    </row>
    <row r="5866" spans="1:2">
      <c r="A5866" s="55"/>
      <c r="B5866"/>
    </row>
    <row r="5867" spans="1:2">
      <c r="A5867" s="55"/>
      <c r="B5867"/>
    </row>
    <row r="5868" spans="1:2">
      <c r="A5868" s="55"/>
      <c r="B5868"/>
    </row>
    <row r="5869" spans="1:2">
      <c r="A5869" s="55"/>
      <c r="B5869"/>
    </row>
    <row r="5870" spans="1:2">
      <c r="A5870" s="55"/>
      <c r="B5870"/>
    </row>
    <row r="5871" spans="1:2">
      <c r="A5871" s="55"/>
      <c r="B5871"/>
    </row>
    <row r="5872" spans="1:2">
      <c r="A5872" s="55"/>
      <c r="B5872"/>
    </row>
    <row r="5873" spans="1:2">
      <c r="A5873" s="55"/>
      <c r="B5873"/>
    </row>
    <row r="5874" spans="1:2">
      <c r="A5874" s="55"/>
      <c r="B5874"/>
    </row>
    <row r="5875" spans="1:2">
      <c r="A5875" s="55"/>
      <c r="B5875"/>
    </row>
    <row r="5876" spans="1:2">
      <c r="A5876" s="55"/>
      <c r="B5876"/>
    </row>
    <row r="5877" spans="1:2">
      <c r="A5877" s="55"/>
      <c r="B5877"/>
    </row>
    <row r="5878" spans="1:2">
      <c r="A5878" s="55"/>
      <c r="B5878"/>
    </row>
    <row r="5879" spans="1:2">
      <c r="A5879" s="55"/>
      <c r="B5879"/>
    </row>
    <row r="5880" spans="1:2">
      <c r="A5880" s="55"/>
      <c r="B5880"/>
    </row>
    <row r="5881" spans="1:2">
      <c r="A5881" s="55"/>
      <c r="B5881"/>
    </row>
    <row r="5882" spans="1:2">
      <c r="A5882" s="55"/>
      <c r="B5882"/>
    </row>
    <row r="5883" spans="1:2">
      <c r="A5883" s="55"/>
      <c r="B5883"/>
    </row>
    <row r="5884" spans="1:2">
      <c r="A5884" s="55"/>
      <c r="B5884"/>
    </row>
    <row r="5885" spans="1:2">
      <c r="A5885" s="55"/>
      <c r="B5885"/>
    </row>
    <row r="5886" spans="1:2">
      <c r="A5886" s="55"/>
      <c r="B5886"/>
    </row>
    <row r="5887" spans="1:2">
      <c r="A5887" s="55"/>
      <c r="B5887"/>
    </row>
    <row r="5888" spans="1:2">
      <c r="A5888" s="55"/>
      <c r="B5888"/>
    </row>
    <row r="5889" spans="1:2">
      <c r="A5889" s="55"/>
      <c r="B5889"/>
    </row>
    <row r="5890" spans="1:2">
      <c r="A5890" s="55"/>
      <c r="B5890"/>
    </row>
    <row r="5891" spans="1:2">
      <c r="A5891" s="55"/>
      <c r="B5891"/>
    </row>
    <row r="5892" spans="1:2">
      <c r="A5892" s="55"/>
      <c r="B5892"/>
    </row>
    <row r="5893" spans="1:2">
      <c r="A5893" s="55"/>
      <c r="B5893"/>
    </row>
    <row r="5894" spans="1:2">
      <c r="A5894" s="55"/>
      <c r="B5894"/>
    </row>
    <row r="5895" spans="1:2">
      <c r="A5895" s="55"/>
      <c r="B5895"/>
    </row>
    <row r="5896" spans="1:2">
      <c r="A5896" s="55"/>
      <c r="B5896"/>
    </row>
    <row r="5897" spans="1:2">
      <c r="A5897" s="55"/>
      <c r="B5897"/>
    </row>
    <row r="5898" spans="1:2">
      <c r="A5898" s="55"/>
      <c r="B5898"/>
    </row>
    <row r="5899" spans="1:2">
      <c r="A5899" s="55"/>
      <c r="B5899"/>
    </row>
    <row r="5900" spans="1:2">
      <c r="A5900" s="55"/>
      <c r="B5900"/>
    </row>
    <row r="5901" spans="1:2">
      <c r="A5901" s="55"/>
      <c r="B5901"/>
    </row>
    <row r="5902" spans="1:2">
      <c r="A5902" s="55"/>
      <c r="B5902"/>
    </row>
    <row r="5903" spans="1:2">
      <c r="A5903" s="55"/>
      <c r="B5903"/>
    </row>
    <row r="5904" spans="1:2">
      <c r="A5904" s="55"/>
      <c r="B5904"/>
    </row>
    <row r="5905" spans="1:2">
      <c r="A5905" s="55"/>
      <c r="B5905"/>
    </row>
    <row r="5906" spans="1:2">
      <c r="A5906" s="55"/>
      <c r="B5906"/>
    </row>
    <row r="5907" spans="1:2">
      <c r="A5907" s="55"/>
      <c r="B5907"/>
    </row>
    <row r="5908" spans="1:2">
      <c r="A5908" s="55"/>
      <c r="B5908"/>
    </row>
    <row r="5909" spans="1:2">
      <c r="A5909" s="55"/>
      <c r="B5909"/>
    </row>
    <row r="5910" spans="1:2">
      <c r="A5910" s="55"/>
      <c r="B5910"/>
    </row>
    <row r="5911" spans="1:2">
      <c r="A5911" s="55"/>
      <c r="B5911"/>
    </row>
    <row r="5912" spans="1:2">
      <c r="A5912" s="55"/>
      <c r="B5912"/>
    </row>
    <row r="5913" spans="1:2">
      <c r="A5913" s="55"/>
      <c r="B5913"/>
    </row>
    <row r="5914" spans="1:2">
      <c r="A5914" s="55"/>
      <c r="B5914"/>
    </row>
    <row r="5915" spans="1:2">
      <c r="A5915" s="55"/>
      <c r="B5915"/>
    </row>
    <row r="5916" spans="1:2">
      <c r="A5916" s="55"/>
      <c r="B5916"/>
    </row>
    <row r="5917" spans="1:2">
      <c r="A5917" s="55"/>
      <c r="B5917"/>
    </row>
    <row r="5918" spans="1:2">
      <c r="A5918" s="55"/>
      <c r="B5918"/>
    </row>
    <row r="5919" spans="1:2">
      <c r="A5919" s="55"/>
      <c r="B5919"/>
    </row>
    <row r="5920" spans="1:2">
      <c r="A5920" s="55"/>
      <c r="B5920"/>
    </row>
    <row r="5921" spans="1:2">
      <c r="A5921" s="55"/>
      <c r="B5921"/>
    </row>
    <row r="5922" spans="1:2">
      <c r="A5922" s="55"/>
      <c r="B5922"/>
    </row>
    <row r="5923" spans="1:2">
      <c r="A5923" s="55"/>
      <c r="B5923"/>
    </row>
    <row r="5924" spans="1:2">
      <c r="A5924" s="55"/>
      <c r="B5924"/>
    </row>
    <row r="5925" spans="1:2">
      <c r="A5925" s="55"/>
      <c r="B5925"/>
    </row>
    <row r="5926" spans="1:2">
      <c r="A5926" s="55"/>
      <c r="B5926"/>
    </row>
    <row r="5927" spans="1:2">
      <c r="A5927" s="55"/>
      <c r="B5927"/>
    </row>
    <row r="5928" spans="1:2">
      <c r="A5928" s="55"/>
      <c r="B5928"/>
    </row>
    <row r="5929" spans="1:2">
      <c r="A5929" s="55"/>
      <c r="B5929"/>
    </row>
    <row r="5930" spans="1:2">
      <c r="A5930" s="55"/>
      <c r="B5930"/>
    </row>
    <row r="5931" spans="1:2">
      <c r="A5931" s="55"/>
      <c r="B5931"/>
    </row>
    <row r="5932" spans="1:2">
      <c r="A5932" s="55"/>
      <c r="B5932"/>
    </row>
    <row r="5933" spans="1:2">
      <c r="A5933" s="55"/>
      <c r="B5933"/>
    </row>
    <row r="5934" spans="1:2">
      <c r="A5934" s="55"/>
      <c r="B5934"/>
    </row>
    <row r="5935" spans="1:2">
      <c r="A5935" s="55"/>
      <c r="B5935"/>
    </row>
    <row r="5936" spans="1:2">
      <c r="A5936" s="55"/>
      <c r="B5936"/>
    </row>
    <row r="5937" spans="1:2">
      <c r="A5937" s="55"/>
      <c r="B5937"/>
    </row>
    <row r="5938" spans="1:2">
      <c r="A5938" s="55"/>
      <c r="B5938"/>
    </row>
    <row r="5939" spans="1:2">
      <c r="A5939" s="55"/>
      <c r="B5939"/>
    </row>
    <row r="5940" spans="1:2">
      <c r="A5940" s="55"/>
      <c r="B5940"/>
    </row>
    <row r="5941" spans="1:2">
      <c r="A5941" s="55"/>
      <c r="B5941"/>
    </row>
    <row r="5942" spans="1:2">
      <c r="A5942" s="55"/>
      <c r="B5942"/>
    </row>
    <row r="5943" spans="1:2">
      <c r="A5943" s="55"/>
      <c r="B5943"/>
    </row>
    <row r="5944" spans="1:2">
      <c r="A5944" s="55"/>
      <c r="B5944"/>
    </row>
    <row r="5945" spans="1:2">
      <c r="A5945" s="55"/>
      <c r="B5945"/>
    </row>
    <row r="5946" spans="1:2">
      <c r="A5946" s="55"/>
      <c r="B5946"/>
    </row>
    <row r="5947" spans="1:2">
      <c r="A5947" s="55"/>
      <c r="B5947"/>
    </row>
    <row r="5948" spans="1:2">
      <c r="A5948" s="55"/>
      <c r="B5948"/>
    </row>
    <row r="5949" spans="1:2">
      <c r="A5949" s="55"/>
      <c r="B5949"/>
    </row>
    <row r="5950" spans="1:2">
      <c r="A5950" s="55"/>
      <c r="B5950"/>
    </row>
    <row r="5951" spans="1:2">
      <c r="A5951" s="55"/>
      <c r="B5951"/>
    </row>
    <row r="5952" spans="1:2">
      <c r="A5952" s="55"/>
      <c r="B5952"/>
    </row>
    <row r="5953" spans="1:2">
      <c r="A5953" s="55"/>
      <c r="B5953"/>
    </row>
    <row r="5954" spans="1:2">
      <c r="A5954" s="55"/>
      <c r="B5954"/>
    </row>
    <row r="5955" spans="1:2">
      <c r="A5955" s="55"/>
      <c r="B5955"/>
    </row>
    <row r="5956" spans="1:2">
      <c r="A5956" s="55"/>
      <c r="B5956"/>
    </row>
    <row r="5957" spans="1:2">
      <c r="A5957" s="55"/>
      <c r="B5957"/>
    </row>
    <row r="5958" spans="1:2">
      <c r="A5958" s="55"/>
      <c r="B5958"/>
    </row>
    <row r="5959" spans="1:2">
      <c r="A5959" s="55"/>
      <c r="B5959"/>
    </row>
    <row r="5960" spans="1:2">
      <c r="A5960" s="55"/>
      <c r="B5960"/>
    </row>
    <row r="5961" spans="1:2">
      <c r="A5961" s="55"/>
      <c r="B5961"/>
    </row>
    <row r="5962" spans="1:2">
      <c r="A5962" s="55"/>
      <c r="B5962"/>
    </row>
    <row r="5963" spans="1:2">
      <c r="A5963" s="55"/>
      <c r="B5963"/>
    </row>
    <row r="5964" spans="1:2">
      <c r="A5964" s="55"/>
      <c r="B5964"/>
    </row>
    <row r="5965" spans="1:2">
      <c r="A5965" s="55"/>
      <c r="B5965"/>
    </row>
    <row r="5966" spans="1:2">
      <c r="A5966" s="55"/>
      <c r="B5966"/>
    </row>
    <row r="5967" spans="1:2">
      <c r="A5967" s="55"/>
      <c r="B5967"/>
    </row>
    <row r="5968" spans="1:2">
      <c r="A5968" s="55"/>
      <c r="B5968"/>
    </row>
    <row r="5969" spans="1:2">
      <c r="A5969" s="55"/>
      <c r="B5969"/>
    </row>
    <row r="5970" spans="1:2">
      <c r="A5970" s="55"/>
      <c r="B5970"/>
    </row>
    <row r="5971" spans="1:2">
      <c r="A5971" s="55"/>
      <c r="B5971"/>
    </row>
    <row r="5972" spans="1:2">
      <c r="A5972" s="55"/>
      <c r="B5972"/>
    </row>
    <row r="5973" spans="1:2">
      <c r="A5973" s="55"/>
      <c r="B5973"/>
    </row>
    <row r="5974" spans="1:2">
      <c r="A5974" s="55"/>
      <c r="B5974"/>
    </row>
    <row r="5975" spans="1:2">
      <c r="A5975" s="55"/>
      <c r="B5975"/>
    </row>
    <row r="5976" spans="1:2">
      <c r="A5976" s="55"/>
      <c r="B5976"/>
    </row>
    <row r="5977" spans="1:2">
      <c r="A5977" s="55"/>
      <c r="B5977"/>
    </row>
    <row r="5978" spans="1:2">
      <c r="A5978" s="55"/>
      <c r="B5978"/>
    </row>
    <row r="5979" spans="1:2">
      <c r="A5979" s="55"/>
      <c r="B5979"/>
    </row>
    <row r="5980" spans="1:2">
      <c r="A5980" s="55"/>
      <c r="B5980"/>
    </row>
    <row r="5981" spans="1:2">
      <c r="A5981" s="55"/>
      <c r="B5981"/>
    </row>
    <row r="5982" spans="1:2">
      <c r="A5982" s="55"/>
      <c r="B5982"/>
    </row>
    <row r="5983" spans="1:2">
      <c r="A5983" s="55"/>
      <c r="B5983"/>
    </row>
    <row r="5984" spans="1:2">
      <c r="A5984" s="55"/>
      <c r="B5984"/>
    </row>
    <row r="5985" spans="1:2">
      <c r="A5985" s="55"/>
      <c r="B5985"/>
    </row>
    <row r="5986" spans="1:2">
      <c r="A5986" s="55"/>
      <c r="B5986"/>
    </row>
    <row r="5987" spans="1:2">
      <c r="A5987" s="55"/>
      <c r="B5987"/>
    </row>
    <row r="5988" spans="1:2">
      <c r="A5988" s="55"/>
      <c r="B5988"/>
    </row>
    <row r="5989" spans="1:2">
      <c r="A5989" s="55"/>
      <c r="B5989"/>
    </row>
    <row r="5990" spans="1:2">
      <c r="A5990" s="55"/>
      <c r="B5990"/>
    </row>
    <row r="5991" spans="1:2">
      <c r="A5991" s="55"/>
      <c r="B5991"/>
    </row>
    <row r="5992" spans="1:2">
      <c r="A5992" s="55"/>
      <c r="B5992"/>
    </row>
    <row r="5993" spans="1:2">
      <c r="A5993" s="55"/>
      <c r="B5993"/>
    </row>
    <row r="5994" spans="1:2">
      <c r="A5994" s="55"/>
      <c r="B5994"/>
    </row>
    <row r="5995" spans="1:2">
      <c r="A5995" s="55"/>
      <c r="B5995"/>
    </row>
    <row r="5996" spans="1:2">
      <c r="A5996" s="55"/>
      <c r="B5996"/>
    </row>
    <row r="5997" spans="1:2">
      <c r="A5997" s="55"/>
      <c r="B5997"/>
    </row>
    <row r="5998" spans="1:2">
      <c r="A5998" s="55"/>
      <c r="B5998"/>
    </row>
    <row r="5999" spans="1:2">
      <c r="A5999" s="55"/>
      <c r="B5999"/>
    </row>
    <row r="6000" spans="1:2">
      <c r="A6000" s="55"/>
      <c r="B6000"/>
    </row>
    <row r="6001" spans="1:2">
      <c r="A6001" s="55"/>
      <c r="B6001"/>
    </row>
    <row r="6002" spans="1:2">
      <c r="A6002" s="55"/>
      <c r="B6002"/>
    </row>
    <row r="6003" spans="1:2">
      <c r="A6003" s="55"/>
      <c r="B6003"/>
    </row>
    <row r="6004" spans="1:2">
      <c r="A6004" s="55"/>
      <c r="B6004"/>
    </row>
    <row r="6005" spans="1:2">
      <c r="A6005" s="55"/>
      <c r="B6005"/>
    </row>
    <row r="6006" spans="1:2">
      <c r="A6006" s="55"/>
      <c r="B6006"/>
    </row>
    <row r="6007" spans="1:2">
      <c r="A6007" s="55"/>
      <c r="B6007"/>
    </row>
    <row r="6008" spans="1:2">
      <c r="A6008" s="55"/>
      <c r="B6008"/>
    </row>
    <row r="6009" spans="1:2">
      <c r="A6009" s="55"/>
      <c r="B6009"/>
    </row>
    <row r="6010" spans="1:2">
      <c r="A6010" s="55"/>
      <c r="B6010"/>
    </row>
    <row r="6011" spans="1:2">
      <c r="A6011" s="55"/>
      <c r="B6011"/>
    </row>
    <row r="6012" spans="1:2">
      <c r="A6012" s="55"/>
      <c r="B6012"/>
    </row>
    <row r="6013" spans="1:2">
      <c r="A6013" s="55"/>
      <c r="B6013"/>
    </row>
    <row r="6014" spans="1:2">
      <c r="A6014" s="55"/>
      <c r="B6014"/>
    </row>
    <row r="6015" spans="1:2">
      <c r="A6015" s="55"/>
      <c r="B6015"/>
    </row>
    <row r="6016" spans="1:2">
      <c r="A6016" s="55"/>
      <c r="B6016"/>
    </row>
    <row r="6017" spans="1:2">
      <c r="A6017" s="55"/>
      <c r="B6017"/>
    </row>
    <row r="6018" spans="1:2">
      <c r="A6018" s="55"/>
      <c r="B6018"/>
    </row>
    <row r="6019" spans="1:2">
      <c r="A6019" s="55"/>
      <c r="B6019"/>
    </row>
    <row r="6020" spans="1:2">
      <c r="A6020" s="55"/>
      <c r="B6020"/>
    </row>
    <row r="6021" spans="1:2">
      <c r="A6021" s="55"/>
      <c r="B6021"/>
    </row>
    <row r="6022" spans="1:2">
      <c r="A6022" s="55"/>
      <c r="B6022"/>
    </row>
    <row r="6023" spans="1:2">
      <c r="A6023" s="55"/>
      <c r="B6023"/>
    </row>
    <row r="6024" spans="1:2">
      <c r="A6024" s="55"/>
      <c r="B6024"/>
    </row>
    <row r="6025" spans="1:2">
      <c r="A6025" s="55"/>
      <c r="B6025"/>
    </row>
    <row r="6026" spans="1:2">
      <c r="A6026" s="55"/>
      <c r="B6026"/>
    </row>
    <row r="6027" spans="1:2">
      <c r="A6027" s="55"/>
      <c r="B6027"/>
    </row>
    <row r="6028" spans="1:2">
      <c r="A6028" s="55"/>
      <c r="B6028"/>
    </row>
    <row r="6029" spans="1:2">
      <c r="A6029" s="55"/>
      <c r="B6029"/>
    </row>
    <row r="6030" spans="1:2">
      <c r="A6030" s="55"/>
      <c r="B6030"/>
    </row>
    <row r="6031" spans="1:2">
      <c r="A6031" s="55"/>
      <c r="B6031"/>
    </row>
    <row r="6032" spans="1:2">
      <c r="A6032" s="55"/>
      <c r="B6032"/>
    </row>
    <row r="6033" spans="1:2">
      <c r="A6033" s="55"/>
      <c r="B6033"/>
    </row>
    <row r="6034" spans="1:2">
      <c r="A6034" s="55"/>
      <c r="B6034"/>
    </row>
    <row r="6035" spans="1:2">
      <c r="A6035" s="55"/>
      <c r="B6035"/>
    </row>
    <row r="6036" spans="1:2">
      <c r="A6036" s="55"/>
      <c r="B6036"/>
    </row>
    <row r="6037" spans="1:2">
      <c r="A6037" s="55"/>
      <c r="B6037"/>
    </row>
    <row r="6038" spans="1:2">
      <c r="A6038" s="55"/>
      <c r="B6038"/>
    </row>
    <row r="6039" spans="1:2">
      <c r="A6039" s="55"/>
      <c r="B6039"/>
    </row>
    <row r="6040" spans="1:2">
      <c r="A6040" s="55"/>
      <c r="B6040"/>
    </row>
    <row r="6041" spans="1:2">
      <c r="A6041" s="55"/>
      <c r="B6041"/>
    </row>
    <row r="6042" spans="1:2">
      <c r="A6042" s="55"/>
      <c r="B6042"/>
    </row>
    <row r="6043" spans="1:2">
      <c r="A6043" s="55"/>
      <c r="B6043"/>
    </row>
    <row r="6044" spans="1:2">
      <c r="A6044" s="55"/>
      <c r="B6044"/>
    </row>
    <row r="6045" spans="1:2">
      <c r="A6045" s="55"/>
      <c r="B6045"/>
    </row>
    <row r="6046" spans="1:2">
      <c r="A6046" s="55"/>
      <c r="B6046"/>
    </row>
    <row r="6047" spans="1:2">
      <c r="A6047" s="55"/>
      <c r="B6047"/>
    </row>
    <row r="6048" spans="1:2">
      <c r="A6048" s="55"/>
      <c r="B6048"/>
    </row>
    <row r="6049" spans="1:2">
      <c r="A6049" s="55"/>
      <c r="B6049"/>
    </row>
    <row r="6050" spans="1:2">
      <c r="A6050" s="55"/>
      <c r="B6050"/>
    </row>
    <row r="6051" spans="1:2">
      <c r="A6051" s="55"/>
      <c r="B6051"/>
    </row>
    <row r="6052" spans="1:2">
      <c r="A6052" s="55"/>
      <c r="B6052"/>
    </row>
    <row r="6053" spans="1:2">
      <c r="A6053" s="55"/>
      <c r="B6053"/>
    </row>
    <row r="6054" spans="1:2">
      <c r="A6054" s="55"/>
      <c r="B6054"/>
    </row>
    <row r="6055" spans="1:2">
      <c r="A6055" s="55"/>
      <c r="B6055"/>
    </row>
    <row r="6056" spans="1:2">
      <c r="A6056" s="55"/>
      <c r="B6056"/>
    </row>
    <row r="6057" spans="1:2">
      <c r="A6057" s="55"/>
      <c r="B6057"/>
    </row>
    <row r="6058" spans="1:2">
      <c r="A6058" s="55"/>
      <c r="B6058"/>
    </row>
    <row r="6059" spans="1:2">
      <c r="A6059" s="55"/>
      <c r="B6059"/>
    </row>
    <row r="6060" spans="1:2">
      <c r="A6060" s="55"/>
      <c r="B6060"/>
    </row>
    <row r="6061" spans="1:2">
      <c r="A6061" s="55"/>
      <c r="B6061"/>
    </row>
    <row r="6062" spans="1:2">
      <c r="A6062" s="55"/>
      <c r="B6062"/>
    </row>
    <row r="6063" spans="1:2">
      <c r="A6063" s="55"/>
      <c r="B6063"/>
    </row>
    <row r="6064" spans="1:2">
      <c r="A6064" s="55"/>
      <c r="B6064"/>
    </row>
    <row r="6065" spans="1:2">
      <c r="A6065" s="55"/>
      <c r="B6065"/>
    </row>
    <row r="6066" spans="1:2">
      <c r="A6066" s="55"/>
      <c r="B6066"/>
    </row>
    <row r="6067" spans="1:2">
      <c r="A6067" s="55"/>
      <c r="B6067"/>
    </row>
    <row r="6068" spans="1:2">
      <c r="A6068" s="55"/>
      <c r="B6068"/>
    </row>
    <row r="6069" spans="1:2">
      <c r="A6069" s="55"/>
      <c r="B6069"/>
    </row>
    <row r="6070" spans="1:2">
      <c r="A6070" s="55"/>
      <c r="B6070"/>
    </row>
    <row r="6071" spans="1:2">
      <c r="A6071" s="55"/>
      <c r="B6071"/>
    </row>
    <row r="6072" spans="1:2">
      <c r="A6072" s="55"/>
      <c r="B6072"/>
    </row>
    <row r="6073" spans="1:2">
      <c r="A6073" s="55"/>
      <c r="B6073"/>
    </row>
    <row r="6074" spans="1:2">
      <c r="A6074" s="55"/>
      <c r="B6074"/>
    </row>
    <row r="6075" spans="1:2">
      <c r="A6075" s="55"/>
      <c r="B6075"/>
    </row>
    <row r="6076" spans="1:2">
      <c r="A6076" s="55"/>
      <c r="B6076"/>
    </row>
    <row r="6077" spans="1:2">
      <c r="A6077" s="55"/>
      <c r="B6077"/>
    </row>
    <row r="6078" spans="1:2">
      <c r="A6078" s="55"/>
      <c r="B6078"/>
    </row>
    <row r="6079" spans="1:2">
      <c r="A6079" s="55"/>
      <c r="B6079"/>
    </row>
    <row r="6080" spans="1:2">
      <c r="A6080" s="55"/>
      <c r="B6080"/>
    </row>
    <row r="6081" spans="1:2">
      <c r="A6081" s="55"/>
      <c r="B6081"/>
    </row>
    <row r="6082" spans="1:2">
      <c r="A6082" s="55"/>
      <c r="B6082"/>
    </row>
    <row r="6083" spans="1:2">
      <c r="A6083" s="55"/>
      <c r="B6083"/>
    </row>
    <row r="6084" spans="1:2">
      <c r="A6084" s="55"/>
      <c r="B6084"/>
    </row>
    <row r="6085" spans="1:2">
      <c r="A6085" s="55"/>
      <c r="B6085"/>
    </row>
    <row r="6086" spans="1:2">
      <c r="A6086" s="55"/>
      <c r="B6086"/>
    </row>
    <row r="6087" spans="1:2">
      <c r="A6087" s="55"/>
      <c r="B6087"/>
    </row>
    <row r="6088" spans="1:2">
      <c r="A6088" s="55"/>
      <c r="B6088"/>
    </row>
    <row r="6089" spans="1:2">
      <c r="A6089" s="55"/>
      <c r="B6089"/>
    </row>
    <row r="6090" spans="1:2">
      <c r="A6090" s="55"/>
      <c r="B6090"/>
    </row>
    <row r="6091" spans="1:2">
      <c r="A6091" s="55"/>
      <c r="B6091"/>
    </row>
    <row r="6092" spans="1:2">
      <c r="A6092" s="55"/>
      <c r="B6092"/>
    </row>
    <row r="6093" spans="1:2">
      <c r="A6093" s="55"/>
      <c r="B6093"/>
    </row>
    <row r="6094" spans="1:2">
      <c r="A6094" s="55"/>
      <c r="B6094"/>
    </row>
    <row r="6095" spans="1:2">
      <c r="A6095" s="55"/>
      <c r="B6095"/>
    </row>
    <row r="6096" spans="1:2">
      <c r="A6096" s="55"/>
      <c r="B6096"/>
    </row>
    <row r="6097" spans="1:2">
      <c r="A6097" s="55"/>
      <c r="B6097"/>
    </row>
    <row r="6098" spans="1:2">
      <c r="A6098" s="55"/>
      <c r="B6098"/>
    </row>
    <row r="6099" spans="1:2">
      <c r="A6099" s="55"/>
      <c r="B6099"/>
    </row>
    <row r="6100" spans="1:2">
      <c r="A6100" s="55"/>
      <c r="B6100"/>
    </row>
    <row r="6101" spans="1:2">
      <c r="A6101" s="55"/>
      <c r="B6101"/>
    </row>
    <row r="6102" spans="1:2">
      <c r="A6102" s="55"/>
      <c r="B6102"/>
    </row>
    <row r="6103" spans="1:2">
      <c r="A6103" s="55"/>
      <c r="B6103"/>
    </row>
    <row r="6104" spans="1:2">
      <c r="A6104" s="55"/>
      <c r="B6104"/>
    </row>
    <row r="6105" spans="1:2">
      <c r="A6105" s="55"/>
      <c r="B6105"/>
    </row>
    <row r="6106" spans="1:2">
      <c r="A6106" s="55"/>
      <c r="B6106"/>
    </row>
    <row r="6107" spans="1:2">
      <c r="A6107" s="55"/>
      <c r="B6107"/>
    </row>
    <row r="6108" spans="1:2">
      <c r="A6108" s="55"/>
      <c r="B6108"/>
    </row>
    <row r="6109" spans="1:2">
      <c r="A6109" s="55"/>
      <c r="B6109"/>
    </row>
    <row r="6110" spans="1:2">
      <c r="A6110" s="55"/>
      <c r="B6110"/>
    </row>
    <row r="6111" spans="1:2">
      <c r="A6111" s="55"/>
      <c r="B6111"/>
    </row>
    <row r="6112" spans="1:2">
      <c r="A6112" s="55"/>
      <c r="B6112"/>
    </row>
    <row r="6113" spans="1:2">
      <c r="A6113" s="55"/>
      <c r="B6113"/>
    </row>
    <row r="6114" spans="1:2">
      <c r="A6114" s="55"/>
      <c r="B6114"/>
    </row>
    <row r="6115" spans="1:2">
      <c r="A6115" s="55"/>
      <c r="B6115"/>
    </row>
    <row r="6116" spans="1:2">
      <c r="A6116" s="55"/>
      <c r="B6116"/>
    </row>
    <row r="6117" spans="1:2">
      <c r="A6117" s="55"/>
      <c r="B6117"/>
    </row>
    <row r="6118" spans="1:2">
      <c r="A6118" s="55"/>
      <c r="B6118"/>
    </row>
    <row r="6119" spans="1:2">
      <c r="A6119" s="55"/>
      <c r="B6119"/>
    </row>
    <row r="6120" spans="1:2">
      <c r="A6120" s="55"/>
      <c r="B6120"/>
    </row>
    <row r="6121" spans="1:2">
      <c r="A6121" s="55"/>
      <c r="B6121"/>
    </row>
    <row r="6122" spans="1:2">
      <c r="A6122" s="55"/>
      <c r="B6122"/>
    </row>
    <row r="6123" spans="1:2">
      <c r="A6123" s="55"/>
      <c r="B6123"/>
    </row>
    <row r="6124" spans="1:2">
      <c r="A6124" s="55"/>
      <c r="B6124"/>
    </row>
    <row r="6125" spans="1:2">
      <c r="A6125" s="55"/>
      <c r="B6125"/>
    </row>
    <row r="6126" spans="1:2">
      <c r="A6126" s="55"/>
      <c r="B6126"/>
    </row>
    <row r="6127" spans="1:2">
      <c r="A6127" s="55"/>
      <c r="B6127"/>
    </row>
    <row r="6128" spans="1:2">
      <c r="A6128" s="55"/>
      <c r="B6128"/>
    </row>
    <row r="6129" spans="1:2">
      <c r="A6129" s="55"/>
      <c r="B6129"/>
    </row>
    <row r="6130" spans="1:2">
      <c r="A6130" s="55"/>
      <c r="B6130"/>
    </row>
    <row r="6131" spans="1:2">
      <c r="A6131" s="55"/>
      <c r="B6131"/>
    </row>
    <row r="6132" spans="1:2">
      <c r="A6132" s="55"/>
      <c r="B6132"/>
    </row>
    <row r="6133" spans="1:2">
      <c r="A6133" s="55"/>
      <c r="B6133"/>
    </row>
    <row r="6134" spans="1:2">
      <c r="A6134" s="55"/>
      <c r="B6134"/>
    </row>
    <row r="6135" spans="1:2">
      <c r="A6135" s="55"/>
      <c r="B6135"/>
    </row>
    <row r="6136" spans="1:2">
      <c r="A6136" s="55"/>
      <c r="B6136"/>
    </row>
    <row r="6137" spans="1:2">
      <c r="A6137" s="55"/>
      <c r="B6137"/>
    </row>
    <row r="6138" spans="1:2">
      <c r="A6138" s="55"/>
      <c r="B6138"/>
    </row>
    <row r="6139" spans="1:2">
      <c r="A6139" s="55"/>
      <c r="B6139"/>
    </row>
    <row r="6140" spans="1:2">
      <c r="A6140" s="55"/>
      <c r="B6140"/>
    </row>
    <row r="6141" spans="1:2">
      <c r="A6141" s="55"/>
      <c r="B6141"/>
    </row>
    <row r="6142" spans="1:2">
      <c r="A6142" s="55"/>
      <c r="B6142"/>
    </row>
    <row r="6143" spans="1:2">
      <c r="A6143" s="55"/>
      <c r="B6143"/>
    </row>
    <row r="6144" spans="1:2">
      <c r="A6144" s="55"/>
      <c r="B6144"/>
    </row>
    <row r="6145" spans="1:2">
      <c r="A6145" s="55"/>
      <c r="B6145"/>
    </row>
    <row r="6146" spans="1:2">
      <c r="A6146" s="55"/>
      <c r="B6146"/>
    </row>
    <row r="6147" spans="1:2">
      <c r="A6147" s="55"/>
      <c r="B6147"/>
    </row>
    <row r="6148" spans="1:2">
      <c r="A6148" s="55"/>
      <c r="B6148"/>
    </row>
    <row r="6149" spans="1:2">
      <c r="A6149" s="55"/>
      <c r="B6149"/>
    </row>
    <row r="6150" spans="1:2">
      <c r="A6150" s="55"/>
      <c r="B6150"/>
    </row>
    <row r="6151" spans="1:2">
      <c r="A6151" s="55"/>
      <c r="B6151"/>
    </row>
    <row r="6152" spans="1:2">
      <c r="A6152" s="55"/>
      <c r="B6152"/>
    </row>
    <row r="6153" spans="1:2">
      <c r="A6153" s="55"/>
      <c r="B6153"/>
    </row>
    <row r="6154" spans="1:2">
      <c r="A6154" s="55"/>
      <c r="B6154"/>
    </row>
    <row r="6155" spans="1:2">
      <c r="A6155" s="55"/>
      <c r="B6155"/>
    </row>
    <row r="6156" spans="1:2">
      <c r="A6156" s="55"/>
      <c r="B6156"/>
    </row>
    <row r="6157" spans="1:2">
      <c r="A6157" s="55"/>
      <c r="B6157"/>
    </row>
    <row r="6158" spans="1:2">
      <c r="A6158" s="55"/>
      <c r="B6158"/>
    </row>
    <row r="6159" spans="1:2">
      <c r="A6159" s="55"/>
      <c r="B6159"/>
    </row>
    <row r="6160" spans="1:2">
      <c r="A6160" s="55"/>
      <c r="B6160"/>
    </row>
    <row r="6161" spans="1:2">
      <c r="A6161" s="55"/>
      <c r="B6161"/>
    </row>
    <row r="6162" spans="1:2">
      <c r="A6162" s="55"/>
      <c r="B6162"/>
    </row>
    <row r="6163" spans="1:2">
      <c r="A6163" s="55"/>
      <c r="B6163"/>
    </row>
    <row r="6164" spans="1:2">
      <c r="A6164" s="55"/>
      <c r="B6164"/>
    </row>
    <row r="6165" spans="1:2">
      <c r="A6165" s="55"/>
      <c r="B6165"/>
    </row>
    <row r="6166" spans="1:2">
      <c r="A6166" s="55"/>
      <c r="B6166"/>
    </row>
    <row r="6167" spans="1:2">
      <c r="A6167" s="55"/>
      <c r="B6167"/>
    </row>
    <row r="6168" spans="1:2">
      <c r="A6168" s="55"/>
      <c r="B6168"/>
    </row>
    <row r="6169" spans="1:2">
      <c r="A6169" s="55"/>
      <c r="B6169"/>
    </row>
    <row r="6170" spans="1:2">
      <c r="A6170" s="55"/>
      <c r="B6170"/>
    </row>
    <row r="6171" spans="1:2">
      <c r="A6171" s="55"/>
      <c r="B6171"/>
    </row>
    <row r="6172" spans="1:2">
      <c r="A6172" s="55"/>
      <c r="B6172"/>
    </row>
    <row r="6173" spans="1:2">
      <c r="A6173" s="55"/>
      <c r="B6173"/>
    </row>
    <row r="6174" spans="1:2">
      <c r="A6174" s="55"/>
      <c r="B6174"/>
    </row>
    <row r="6175" spans="1:2">
      <c r="A6175" s="55"/>
      <c r="B6175"/>
    </row>
    <row r="6176" spans="1:2">
      <c r="A6176" s="55"/>
      <c r="B6176"/>
    </row>
    <row r="6177" spans="1:2">
      <c r="A6177" s="55"/>
      <c r="B6177"/>
    </row>
    <row r="6178" spans="1:2">
      <c r="A6178" s="55"/>
      <c r="B6178"/>
    </row>
    <row r="6179" spans="1:2">
      <c r="A6179" s="55"/>
      <c r="B6179"/>
    </row>
    <row r="6180" spans="1:2">
      <c r="A6180" s="55"/>
      <c r="B6180"/>
    </row>
    <row r="6181" spans="1:2">
      <c r="A6181" s="55"/>
      <c r="B6181"/>
    </row>
    <row r="6182" spans="1:2">
      <c r="A6182" s="55"/>
      <c r="B6182"/>
    </row>
    <row r="6183" spans="1:2">
      <c r="A6183" s="55"/>
      <c r="B6183"/>
    </row>
    <row r="6184" spans="1:2">
      <c r="A6184" s="55"/>
      <c r="B6184"/>
    </row>
    <row r="6185" spans="1:2">
      <c r="A6185" s="55"/>
      <c r="B6185"/>
    </row>
    <row r="6186" spans="1:2">
      <c r="A6186" s="55"/>
      <c r="B6186"/>
    </row>
    <row r="6187" spans="1:2">
      <c r="A6187" s="55"/>
      <c r="B6187"/>
    </row>
    <row r="6188" spans="1:2">
      <c r="A6188" s="55"/>
      <c r="B6188"/>
    </row>
    <row r="6189" spans="1:2">
      <c r="A6189" s="55"/>
      <c r="B6189"/>
    </row>
    <row r="6190" spans="1:2">
      <c r="A6190" s="55"/>
      <c r="B6190"/>
    </row>
    <row r="6191" spans="1:2">
      <c r="A6191" s="55"/>
      <c r="B6191"/>
    </row>
    <row r="6192" spans="1:2">
      <c r="A6192" s="55"/>
      <c r="B6192"/>
    </row>
    <row r="6193" spans="1:2">
      <c r="A6193" s="55"/>
      <c r="B6193"/>
    </row>
    <row r="6194" spans="1:2">
      <c r="A6194" s="55"/>
      <c r="B6194"/>
    </row>
    <row r="6195" spans="1:2">
      <c r="A6195" s="55"/>
      <c r="B6195"/>
    </row>
    <row r="6196" spans="1:2">
      <c r="A6196" s="55"/>
      <c r="B6196"/>
    </row>
    <row r="6197" spans="1:2">
      <c r="A6197" s="55"/>
      <c r="B6197"/>
    </row>
    <row r="6198" spans="1:2">
      <c r="A6198" s="55"/>
      <c r="B6198"/>
    </row>
    <row r="6199" spans="1:2">
      <c r="A6199" s="55"/>
      <c r="B6199"/>
    </row>
    <row r="6200" spans="1:2">
      <c r="A6200" s="55"/>
      <c r="B6200"/>
    </row>
    <row r="6201" spans="1:2">
      <c r="A6201" s="55"/>
      <c r="B6201"/>
    </row>
    <row r="6202" spans="1:2">
      <c r="A6202" s="55"/>
      <c r="B6202"/>
    </row>
    <row r="6203" spans="1:2">
      <c r="A6203" s="55"/>
      <c r="B6203"/>
    </row>
    <row r="6204" spans="1:2">
      <c r="A6204" s="55"/>
      <c r="B6204"/>
    </row>
    <row r="6205" spans="1:2">
      <c r="A6205" s="55"/>
      <c r="B6205"/>
    </row>
    <row r="6206" spans="1:2">
      <c r="A6206" s="55"/>
      <c r="B6206"/>
    </row>
    <row r="6207" spans="1:2">
      <c r="A6207" s="55"/>
      <c r="B6207"/>
    </row>
    <row r="6208" spans="1:2">
      <c r="A6208" s="55"/>
      <c r="B6208"/>
    </row>
    <row r="6209" spans="1:2">
      <c r="A6209" s="55"/>
      <c r="B6209"/>
    </row>
    <row r="6210" spans="1:2">
      <c r="A6210" s="55"/>
      <c r="B6210"/>
    </row>
    <row r="6211" spans="1:2">
      <c r="A6211" s="55"/>
      <c r="B6211"/>
    </row>
    <row r="6212" spans="1:2">
      <c r="A6212" s="55"/>
      <c r="B6212"/>
    </row>
    <row r="6213" spans="1:2">
      <c r="A6213" s="55"/>
      <c r="B6213"/>
    </row>
    <row r="6214" spans="1:2">
      <c r="A6214" s="55"/>
      <c r="B6214"/>
    </row>
    <row r="6215" spans="1:2">
      <c r="A6215" s="55"/>
      <c r="B6215"/>
    </row>
    <row r="6216" spans="1:2">
      <c r="A6216" s="55"/>
      <c r="B6216"/>
    </row>
    <row r="6217" spans="1:2">
      <c r="A6217" s="55"/>
      <c r="B6217"/>
    </row>
    <row r="6218" spans="1:2">
      <c r="A6218" s="55"/>
      <c r="B6218"/>
    </row>
    <row r="6219" spans="1:2">
      <c r="A6219" s="55"/>
      <c r="B6219"/>
    </row>
    <row r="6220" spans="1:2">
      <c r="A6220" s="55"/>
      <c r="B6220"/>
    </row>
    <row r="6221" spans="1:2">
      <c r="A6221" s="55"/>
      <c r="B6221"/>
    </row>
    <row r="6222" spans="1:2">
      <c r="A6222" s="55"/>
      <c r="B6222"/>
    </row>
    <row r="6223" spans="1:2">
      <c r="A6223" s="55"/>
      <c r="B6223"/>
    </row>
    <row r="6224" spans="1:2">
      <c r="A6224" s="55"/>
      <c r="B6224"/>
    </row>
    <row r="6225" spans="1:2">
      <c r="A6225" s="55"/>
      <c r="B6225"/>
    </row>
    <row r="6226" spans="1:2">
      <c r="A6226" s="55"/>
      <c r="B6226"/>
    </row>
    <row r="6227" spans="1:2">
      <c r="A6227" s="55"/>
      <c r="B6227"/>
    </row>
    <row r="6228" spans="1:2">
      <c r="A6228" s="55"/>
      <c r="B6228"/>
    </row>
    <row r="6229" spans="1:2">
      <c r="A6229" s="55"/>
      <c r="B6229"/>
    </row>
    <row r="6230" spans="1:2">
      <c r="A6230" s="55"/>
      <c r="B6230"/>
    </row>
    <row r="6231" spans="1:2">
      <c r="A6231" s="55"/>
      <c r="B6231"/>
    </row>
    <row r="6232" spans="1:2">
      <c r="A6232" s="55"/>
      <c r="B6232"/>
    </row>
    <row r="6233" spans="1:2">
      <c r="A6233" s="55"/>
      <c r="B6233"/>
    </row>
    <row r="6234" spans="1:2">
      <c r="A6234" s="55"/>
      <c r="B6234"/>
    </row>
    <row r="6235" spans="1:2">
      <c r="A6235" s="55"/>
      <c r="B6235"/>
    </row>
    <row r="6236" spans="1:2">
      <c r="A6236" s="55"/>
      <c r="B6236"/>
    </row>
    <row r="6237" spans="1:2">
      <c r="A6237" s="55"/>
      <c r="B6237"/>
    </row>
    <row r="6238" spans="1:2">
      <c r="A6238" s="55"/>
      <c r="B6238"/>
    </row>
    <row r="6239" spans="1:2">
      <c r="A6239" s="55"/>
      <c r="B6239"/>
    </row>
    <row r="6240" spans="1:2">
      <c r="A6240" s="55"/>
      <c r="B6240"/>
    </row>
    <row r="6241" spans="1:2">
      <c r="A6241" s="55"/>
      <c r="B6241"/>
    </row>
    <row r="6242" spans="1:2">
      <c r="A6242" s="55"/>
      <c r="B6242"/>
    </row>
    <row r="6243" spans="1:2">
      <c r="A6243" s="55"/>
      <c r="B6243"/>
    </row>
    <row r="6244" spans="1:2">
      <c r="A6244" s="55"/>
      <c r="B6244"/>
    </row>
    <row r="6245" spans="1:2">
      <c r="A6245" s="55"/>
      <c r="B6245"/>
    </row>
    <row r="6246" spans="1:2">
      <c r="A6246" s="55"/>
      <c r="B6246"/>
    </row>
    <row r="6247" spans="1:2">
      <c r="A6247" s="55"/>
      <c r="B6247"/>
    </row>
    <row r="6248" spans="1:2">
      <c r="A6248" s="55"/>
      <c r="B6248"/>
    </row>
    <row r="6249" spans="1:2">
      <c r="A6249" s="55"/>
      <c r="B6249"/>
    </row>
    <row r="6250" spans="1:2">
      <c r="A6250" s="55"/>
      <c r="B6250"/>
    </row>
    <row r="6251" spans="1:2">
      <c r="A6251" s="55"/>
      <c r="B6251"/>
    </row>
    <row r="6252" spans="1:2">
      <c r="A6252" s="55"/>
      <c r="B6252"/>
    </row>
    <row r="6253" spans="1:2">
      <c r="A6253" s="55"/>
      <c r="B6253"/>
    </row>
    <row r="6254" spans="1:2">
      <c r="A6254" s="55"/>
      <c r="B6254"/>
    </row>
    <row r="6255" spans="1:2">
      <c r="A6255" s="55"/>
      <c r="B6255"/>
    </row>
    <row r="6256" spans="1:2">
      <c r="A6256" s="55"/>
      <c r="B6256"/>
    </row>
    <row r="6257" spans="1:2">
      <c r="A6257" s="55"/>
      <c r="B6257"/>
    </row>
    <row r="6258" spans="1:2">
      <c r="A6258" s="55"/>
      <c r="B6258"/>
    </row>
    <row r="6259" spans="1:2">
      <c r="A6259" s="55"/>
      <c r="B6259"/>
    </row>
    <row r="6260" spans="1:2">
      <c r="A6260" s="55"/>
      <c r="B6260"/>
    </row>
    <row r="6261" spans="1:2">
      <c r="A6261" s="55"/>
      <c r="B6261"/>
    </row>
    <row r="6262" spans="1:2">
      <c r="A6262" s="55"/>
      <c r="B6262"/>
    </row>
    <row r="6263" spans="1:2">
      <c r="A6263" s="55"/>
      <c r="B6263"/>
    </row>
    <row r="6264" spans="1:2">
      <c r="A6264" s="55"/>
      <c r="B6264"/>
    </row>
    <row r="6265" spans="1:2">
      <c r="A6265" s="55"/>
      <c r="B6265"/>
    </row>
    <row r="6266" spans="1:2">
      <c r="A6266" s="55"/>
      <c r="B6266"/>
    </row>
    <row r="6267" spans="1:2">
      <c r="A6267" s="55"/>
      <c r="B6267"/>
    </row>
    <row r="6268" spans="1:2">
      <c r="A6268" s="55"/>
      <c r="B6268"/>
    </row>
    <row r="6269" spans="1:2">
      <c r="A6269" s="55"/>
      <c r="B6269"/>
    </row>
    <row r="6270" spans="1:2">
      <c r="A6270" s="55"/>
      <c r="B6270"/>
    </row>
    <row r="6271" spans="1:2">
      <c r="A6271" s="55"/>
      <c r="B6271"/>
    </row>
    <row r="6272" spans="1:2">
      <c r="A6272" s="55"/>
      <c r="B6272"/>
    </row>
    <row r="6273" spans="1:2">
      <c r="A6273" s="55"/>
      <c r="B6273"/>
    </row>
    <row r="6274" spans="1:2">
      <c r="A6274" s="55"/>
      <c r="B6274"/>
    </row>
    <row r="6275" spans="1:2">
      <c r="A6275" s="55"/>
      <c r="B6275"/>
    </row>
    <row r="6276" spans="1:2">
      <c r="A6276" s="55"/>
      <c r="B6276"/>
    </row>
    <row r="6277" spans="1:2">
      <c r="A6277" s="55"/>
      <c r="B6277"/>
    </row>
    <row r="6278" spans="1:2">
      <c r="A6278" s="55"/>
      <c r="B6278"/>
    </row>
    <row r="6279" spans="1:2">
      <c r="A6279" s="55"/>
      <c r="B6279"/>
    </row>
    <row r="6280" spans="1:2">
      <c r="A6280" s="55"/>
      <c r="B6280"/>
    </row>
    <row r="6281" spans="1:2">
      <c r="A6281" s="55"/>
      <c r="B6281"/>
    </row>
    <row r="6282" spans="1:2">
      <c r="A6282" s="55"/>
      <c r="B6282"/>
    </row>
    <row r="6283" spans="1:2">
      <c r="A6283" s="55"/>
      <c r="B6283"/>
    </row>
    <row r="6284" spans="1:2">
      <c r="A6284" s="55"/>
      <c r="B6284"/>
    </row>
    <row r="6285" spans="1:2">
      <c r="A6285" s="55"/>
      <c r="B6285"/>
    </row>
    <row r="6286" spans="1:2">
      <c r="A6286" s="55"/>
      <c r="B6286"/>
    </row>
    <row r="6287" spans="1:2">
      <c r="A6287" s="55"/>
      <c r="B6287"/>
    </row>
    <row r="6288" spans="1:2">
      <c r="A6288" s="55"/>
      <c r="B6288"/>
    </row>
    <row r="6289" spans="1:2">
      <c r="A6289" s="55"/>
      <c r="B6289"/>
    </row>
    <row r="6290" spans="1:2">
      <c r="A6290" s="55"/>
      <c r="B6290"/>
    </row>
    <row r="6291" spans="1:2">
      <c r="A6291" s="55"/>
      <c r="B6291"/>
    </row>
    <row r="6292" spans="1:2">
      <c r="A6292" s="55"/>
      <c r="B6292"/>
    </row>
    <row r="6293" spans="1:2">
      <c r="A6293" s="55"/>
      <c r="B6293"/>
    </row>
    <row r="6294" spans="1:2">
      <c r="A6294" s="55"/>
      <c r="B6294"/>
    </row>
    <row r="6295" spans="1:2">
      <c r="A6295" s="55"/>
      <c r="B6295"/>
    </row>
    <row r="6296" spans="1:2">
      <c r="A6296" s="55"/>
      <c r="B6296"/>
    </row>
    <row r="6297" spans="1:2">
      <c r="A6297" s="55"/>
      <c r="B6297"/>
    </row>
    <row r="6298" spans="1:2">
      <c r="A6298" s="55"/>
      <c r="B6298"/>
    </row>
    <row r="6299" spans="1:2">
      <c r="A6299" s="55"/>
      <c r="B6299"/>
    </row>
    <row r="6300" spans="1:2">
      <c r="A6300" s="55"/>
      <c r="B6300"/>
    </row>
    <row r="6301" spans="1:2">
      <c r="A6301" s="55"/>
      <c r="B6301"/>
    </row>
    <row r="6302" spans="1:2">
      <c r="A6302" s="55"/>
      <c r="B6302"/>
    </row>
    <row r="6303" spans="1:2">
      <c r="A6303" s="55"/>
      <c r="B6303"/>
    </row>
    <row r="6304" spans="1:2">
      <c r="A6304" s="55"/>
      <c r="B6304"/>
    </row>
    <row r="6305" spans="1:2">
      <c r="A6305" s="55"/>
      <c r="B6305"/>
    </row>
    <row r="6306" spans="1:2">
      <c r="A6306" s="55"/>
      <c r="B6306"/>
    </row>
    <row r="6307" spans="1:2">
      <c r="A6307" s="55"/>
      <c r="B6307"/>
    </row>
    <row r="6308" spans="1:2">
      <c r="A6308" s="55"/>
      <c r="B6308"/>
    </row>
    <row r="6309" spans="1:2">
      <c r="A6309" s="55"/>
      <c r="B6309"/>
    </row>
    <row r="6310" spans="1:2">
      <c r="A6310" s="55"/>
      <c r="B6310"/>
    </row>
    <row r="6311" spans="1:2">
      <c r="A6311" s="55"/>
      <c r="B6311"/>
    </row>
    <row r="6312" spans="1:2">
      <c r="A6312" s="55"/>
      <c r="B6312"/>
    </row>
    <row r="6313" spans="1:2">
      <c r="A6313" s="55"/>
      <c r="B6313"/>
    </row>
    <row r="6314" spans="1:2">
      <c r="A6314" s="55"/>
      <c r="B6314"/>
    </row>
    <row r="6315" spans="1:2">
      <c r="A6315" s="55"/>
      <c r="B6315"/>
    </row>
    <row r="6316" spans="1:2">
      <c r="A6316" s="55"/>
      <c r="B6316"/>
    </row>
    <row r="6317" spans="1:2">
      <c r="A6317" s="55"/>
      <c r="B6317"/>
    </row>
    <row r="6318" spans="1:2">
      <c r="A6318" s="55"/>
      <c r="B6318"/>
    </row>
    <row r="6319" spans="1:2">
      <c r="A6319" s="55"/>
      <c r="B6319"/>
    </row>
    <row r="6320" spans="1:2">
      <c r="A6320" s="55"/>
      <c r="B6320"/>
    </row>
    <row r="6321" spans="1:2">
      <c r="A6321" s="55"/>
      <c r="B6321"/>
    </row>
    <row r="6322" spans="1:2">
      <c r="A6322" s="55"/>
      <c r="B6322"/>
    </row>
    <row r="6323" spans="1:2">
      <c r="A6323" s="55"/>
      <c r="B6323"/>
    </row>
    <row r="6324" spans="1:2">
      <c r="A6324" s="55"/>
      <c r="B6324"/>
    </row>
    <row r="6325" spans="1:2">
      <c r="A6325" s="55"/>
      <c r="B6325"/>
    </row>
    <row r="6326" spans="1:2">
      <c r="A6326" s="55"/>
      <c r="B6326"/>
    </row>
    <row r="6327" spans="1:2">
      <c r="A6327" s="55"/>
      <c r="B6327"/>
    </row>
    <row r="6328" spans="1:2">
      <c r="A6328" s="55"/>
      <c r="B6328"/>
    </row>
    <row r="6329" spans="1:2">
      <c r="A6329" s="55"/>
      <c r="B6329"/>
    </row>
    <row r="6330" spans="1:2">
      <c r="A6330" s="55"/>
      <c r="B6330"/>
    </row>
    <row r="6331" spans="1:2">
      <c r="A6331" s="55"/>
      <c r="B6331"/>
    </row>
    <row r="6332" spans="1:2">
      <c r="A6332" s="55"/>
      <c r="B6332"/>
    </row>
    <row r="6333" spans="1:2">
      <c r="A6333" s="55"/>
      <c r="B6333"/>
    </row>
    <row r="6334" spans="1:2">
      <c r="A6334" s="55"/>
      <c r="B6334"/>
    </row>
    <row r="6335" spans="1:2">
      <c r="A6335" s="55"/>
      <c r="B6335"/>
    </row>
    <row r="6336" spans="1:2">
      <c r="A6336" s="55"/>
      <c r="B6336"/>
    </row>
    <row r="6337" spans="1:2">
      <c r="A6337" s="55"/>
      <c r="B6337"/>
    </row>
    <row r="6338" spans="1:2">
      <c r="A6338" s="55"/>
      <c r="B6338"/>
    </row>
    <row r="6339" spans="1:2">
      <c r="A6339" s="55"/>
      <c r="B6339"/>
    </row>
    <row r="6340" spans="1:2">
      <c r="A6340" s="55"/>
      <c r="B6340"/>
    </row>
    <row r="6341" spans="1:2">
      <c r="A6341" s="55"/>
      <c r="B6341"/>
    </row>
    <row r="6342" spans="1:2">
      <c r="A6342" s="55"/>
      <c r="B6342"/>
    </row>
    <row r="6343" spans="1:2">
      <c r="A6343" s="55"/>
      <c r="B6343"/>
    </row>
    <row r="6344" spans="1:2">
      <c r="A6344" s="55"/>
      <c r="B6344"/>
    </row>
    <row r="6345" spans="1:2">
      <c r="A6345" s="55"/>
      <c r="B6345"/>
    </row>
    <row r="6346" spans="1:2">
      <c r="A6346" s="55"/>
      <c r="B6346"/>
    </row>
    <row r="6347" spans="1:2">
      <c r="A6347" s="55"/>
      <c r="B6347"/>
    </row>
    <row r="6348" spans="1:2">
      <c r="A6348" s="55"/>
      <c r="B6348"/>
    </row>
    <row r="6349" spans="1:2">
      <c r="A6349" s="55"/>
      <c r="B6349"/>
    </row>
    <row r="6350" spans="1:2">
      <c r="A6350" s="55"/>
      <c r="B6350"/>
    </row>
    <row r="6351" spans="1:2">
      <c r="A6351" s="55"/>
      <c r="B6351"/>
    </row>
    <row r="6352" spans="1:2">
      <c r="A6352" s="55"/>
      <c r="B6352"/>
    </row>
    <row r="6353" spans="1:2">
      <c r="A6353" s="55"/>
      <c r="B6353"/>
    </row>
    <row r="6354" spans="1:2">
      <c r="A6354" s="55"/>
      <c r="B6354"/>
    </row>
    <row r="6355" spans="1:2">
      <c r="A6355" s="55"/>
      <c r="B6355"/>
    </row>
    <row r="6356" spans="1:2">
      <c r="A6356" s="55"/>
      <c r="B6356"/>
    </row>
    <row r="6357" spans="1:2">
      <c r="A6357" s="55"/>
      <c r="B6357"/>
    </row>
    <row r="6358" spans="1:2">
      <c r="A6358" s="55"/>
      <c r="B6358"/>
    </row>
    <row r="6359" spans="1:2">
      <c r="A6359" s="55"/>
      <c r="B6359"/>
    </row>
    <row r="6360" spans="1:2">
      <c r="A6360" s="55"/>
      <c r="B6360"/>
    </row>
    <row r="6361" spans="1:2">
      <c r="A6361" s="55"/>
      <c r="B6361"/>
    </row>
    <row r="6362" spans="1:2">
      <c r="A6362" s="55"/>
      <c r="B6362"/>
    </row>
    <row r="6363" spans="1:2">
      <c r="A6363" s="55"/>
      <c r="B6363"/>
    </row>
    <row r="6364" spans="1:2">
      <c r="A6364" s="55"/>
      <c r="B6364"/>
    </row>
    <row r="6365" spans="1:2">
      <c r="A6365" s="55"/>
      <c r="B6365"/>
    </row>
    <row r="6366" spans="1:2">
      <c r="A6366" s="55"/>
      <c r="B6366"/>
    </row>
    <row r="6367" spans="1:2">
      <c r="A6367" s="55"/>
      <c r="B6367"/>
    </row>
    <row r="6368" spans="1:2">
      <c r="A6368" s="55"/>
      <c r="B6368"/>
    </row>
    <row r="6369" spans="1:2">
      <c r="A6369" s="55"/>
      <c r="B6369"/>
    </row>
    <row r="6370" spans="1:2">
      <c r="A6370" s="55"/>
      <c r="B6370"/>
    </row>
    <row r="6371" spans="1:2">
      <c r="A6371" s="55"/>
      <c r="B6371"/>
    </row>
    <row r="6372" spans="1:2">
      <c r="A6372" s="55"/>
      <c r="B6372"/>
    </row>
    <row r="6373" spans="1:2">
      <c r="A6373" s="55"/>
      <c r="B6373"/>
    </row>
    <row r="6374" spans="1:2">
      <c r="A6374" s="55"/>
      <c r="B6374"/>
    </row>
    <row r="6375" spans="1:2">
      <c r="A6375" s="55"/>
      <c r="B6375"/>
    </row>
    <row r="6376" spans="1:2">
      <c r="A6376" s="55"/>
      <c r="B6376"/>
    </row>
    <row r="6377" spans="1:2">
      <c r="A6377" s="55"/>
      <c r="B6377"/>
    </row>
    <row r="6378" spans="1:2">
      <c r="A6378" s="55"/>
      <c r="B6378"/>
    </row>
    <row r="6379" spans="1:2">
      <c r="A6379" s="55"/>
      <c r="B6379"/>
    </row>
    <row r="6380" spans="1:2">
      <c r="A6380" s="55"/>
      <c r="B6380"/>
    </row>
    <row r="6381" spans="1:2">
      <c r="A6381" s="55"/>
      <c r="B6381"/>
    </row>
    <row r="6382" spans="1:2">
      <c r="A6382" s="55"/>
      <c r="B6382"/>
    </row>
    <row r="6383" spans="1:2">
      <c r="A6383" s="55"/>
      <c r="B6383"/>
    </row>
    <row r="6384" spans="1:2">
      <c r="A6384" s="55"/>
      <c r="B6384"/>
    </row>
    <row r="6385" spans="1:2">
      <c r="A6385" s="55"/>
      <c r="B6385"/>
    </row>
    <row r="6386" spans="1:2">
      <c r="A6386" s="55"/>
      <c r="B6386"/>
    </row>
    <row r="6387" spans="1:2">
      <c r="A6387" s="55"/>
      <c r="B6387"/>
    </row>
    <row r="6388" spans="1:2">
      <c r="A6388" s="55"/>
      <c r="B6388"/>
    </row>
    <row r="6389" spans="1:2">
      <c r="A6389" s="55"/>
      <c r="B6389"/>
    </row>
    <row r="6390" spans="1:2">
      <c r="A6390" s="55"/>
      <c r="B6390"/>
    </row>
    <row r="6391" spans="1:2">
      <c r="A6391" s="55"/>
      <c r="B6391"/>
    </row>
    <row r="6392" spans="1:2">
      <c r="A6392" s="55"/>
      <c r="B6392"/>
    </row>
    <row r="6393" spans="1:2">
      <c r="A6393" s="55"/>
      <c r="B6393"/>
    </row>
    <row r="6394" spans="1:2">
      <c r="A6394" s="55"/>
      <c r="B6394"/>
    </row>
    <row r="6395" spans="1:2">
      <c r="A6395" s="55"/>
      <c r="B6395"/>
    </row>
    <row r="6396" spans="1:2">
      <c r="A6396" s="55"/>
      <c r="B6396"/>
    </row>
    <row r="6397" spans="1:2">
      <c r="A6397" s="55"/>
      <c r="B6397"/>
    </row>
    <row r="6398" spans="1:2">
      <c r="A6398" s="55"/>
      <c r="B6398"/>
    </row>
    <row r="6399" spans="1:2">
      <c r="A6399" s="55"/>
      <c r="B6399"/>
    </row>
    <row r="6400" spans="1:2">
      <c r="A6400" s="55"/>
      <c r="B6400"/>
    </row>
    <row r="6401" spans="1:2">
      <c r="A6401" s="55"/>
      <c r="B6401"/>
    </row>
    <row r="6402" spans="1:2">
      <c r="A6402" s="55"/>
      <c r="B6402"/>
    </row>
    <row r="6403" spans="1:2">
      <c r="A6403" s="55"/>
      <c r="B6403"/>
    </row>
    <row r="6404" spans="1:2">
      <c r="A6404" s="55"/>
      <c r="B6404"/>
    </row>
    <row r="6405" spans="1:2">
      <c r="A6405" s="55"/>
      <c r="B6405"/>
    </row>
    <row r="6406" spans="1:2">
      <c r="A6406" s="55"/>
      <c r="B6406"/>
    </row>
    <row r="6407" spans="1:2">
      <c r="A6407" s="55"/>
      <c r="B6407"/>
    </row>
    <row r="6408" spans="1:2">
      <c r="A6408" s="55"/>
      <c r="B6408"/>
    </row>
    <row r="6409" spans="1:2">
      <c r="A6409" s="55"/>
      <c r="B6409"/>
    </row>
    <row r="6410" spans="1:2">
      <c r="A6410" s="55"/>
      <c r="B6410"/>
    </row>
    <row r="6411" spans="1:2">
      <c r="A6411" s="55"/>
      <c r="B6411"/>
    </row>
    <row r="6412" spans="1:2">
      <c r="A6412" s="55"/>
      <c r="B6412"/>
    </row>
    <row r="6413" spans="1:2">
      <c r="A6413" s="55"/>
      <c r="B6413"/>
    </row>
    <row r="6414" spans="1:2">
      <c r="A6414" s="55"/>
      <c r="B6414"/>
    </row>
    <row r="6415" spans="1:2">
      <c r="A6415" s="55"/>
      <c r="B6415"/>
    </row>
    <row r="6416" spans="1:2">
      <c r="A6416" s="55"/>
      <c r="B6416"/>
    </row>
    <row r="6417" spans="1:2">
      <c r="A6417" s="55"/>
      <c r="B6417"/>
    </row>
    <row r="6418" spans="1:2">
      <c r="A6418" s="55"/>
      <c r="B6418"/>
    </row>
    <row r="6419" spans="1:2">
      <c r="A6419" s="55"/>
      <c r="B6419"/>
    </row>
    <row r="6420" spans="1:2">
      <c r="A6420" s="55"/>
      <c r="B6420"/>
    </row>
    <row r="6421" spans="1:2">
      <c r="A6421" s="55"/>
      <c r="B6421"/>
    </row>
    <row r="6422" spans="1:2">
      <c r="A6422" s="55"/>
      <c r="B6422"/>
    </row>
    <row r="6423" spans="1:2">
      <c r="A6423" s="55"/>
      <c r="B6423"/>
    </row>
    <row r="6424" spans="1:2">
      <c r="A6424" s="55"/>
      <c r="B6424"/>
    </row>
    <row r="6425" spans="1:2">
      <c r="A6425" s="55"/>
      <c r="B6425"/>
    </row>
    <row r="6426" spans="1:2">
      <c r="A6426" s="55"/>
      <c r="B6426"/>
    </row>
    <row r="6427" spans="1:2">
      <c r="A6427" s="55"/>
      <c r="B6427"/>
    </row>
    <row r="6428" spans="1:2">
      <c r="A6428" s="55"/>
      <c r="B6428"/>
    </row>
    <row r="6429" spans="1:2">
      <c r="A6429" s="55"/>
      <c r="B6429"/>
    </row>
    <row r="6430" spans="1:2">
      <c r="A6430" s="55"/>
      <c r="B6430"/>
    </row>
    <row r="6431" spans="1:2">
      <c r="A6431" s="55"/>
      <c r="B6431"/>
    </row>
    <row r="6432" spans="1:2">
      <c r="A6432" s="55"/>
      <c r="B6432"/>
    </row>
    <row r="6433" spans="1:2">
      <c r="A6433" s="55"/>
      <c r="B6433"/>
    </row>
    <row r="6434" spans="1:2">
      <c r="A6434" s="55"/>
      <c r="B6434"/>
    </row>
    <row r="6435" spans="1:2">
      <c r="A6435" s="55"/>
      <c r="B6435"/>
    </row>
    <row r="6436" spans="1:2">
      <c r="A6436" s="55"/>
      <c r="B6436"/>
    </row>
    <row r="6437" spans="1:2">
      <c r="A6437" s="55"/>
      <c r="B6437"/>
    </row>
    <row r="6438" spans="1:2">
      <c r="A6438" s="55"/>
      <c r="B6438"/>
    </row>
    <row r="6439" spans="1:2">
      <c r="A6439" s="55"/>
      <c r="B6439"/>
    </row>
    <row r="6440" spans="1:2">
      <c r="A6440" s="55"/>
      <c r="B6440"/>
    </row>
    <row r="6441" spans="1:2">
      <c r="A6441" s="55"/>
      <c r="B6441"/>
    </row>
    <row r="6442" spans="1:2">
      <c r="A6442" s="55"/>
      <c r="B6442"/>
    </row>
    <row r="6443" spans="1:2">
      <c r="A6443" s="55"/>
      <c r="B6443"/>
    </row>
    <row r="6444" spans="1:2">
      <c r="A6444" s="55"/>
      <c r="B6444"/>
    </row>
    <row r="6445" spans="1:2">
      <c r="A6445" s="55"/>
      <c r="B6445"/>
    </row>
    <row r="6446" spans="1:2">
      <c r="A6446" s="55"/>
      <c r="B6446"/>
    </row>
    <row r="6447" spans="1:2">
      <c r="A6447" s="55"/>
      <c r="B6447"/>
    </row>
    <row r="6448" spans="1:2">
      <c r="A6448" s="55"/>
      <c r="B6448"/>
    </row>
    <row r="6449" spans="1:2">
      <c r="A6449" s="55"/>
      <c r="B6449"/>
    </row>
    <row r="6450" spans="1:2">
      <c r="A6450" s="55"/>
      <c r="B6450"/>
    </row>
    <row r="6451" spans="1:2">
      <c r="A6451" s="55"/>
      <c r="B6451"/>
    </row>
    <row r="6452" spans="1:2">
      <c r="A6452" s="55"/>
      <c r="B6452"/>
    </row>
    <row r="6453" spans="1:2">
      <c r="A6453" s="55"/>
      <c r="B6453"/>
    </row>
    <row r="6454" spans="1:2">
      <c r="A6454" s="55"/>
      <c r="B6454"/>
    </row>
    <row r="6455" spans="1:2">
      <c r="A6455" s="55"/>
      <c r="B6455"/>
    </row>
    <row r="6456" spans="1:2">
      <c r="A6456" s="55"/>
      <c r="B6456"/>
    </row>
    <row r="6457" spans="1:2">
      <c r="A6457" s="55"/>
      <c r="B6457"/>
    </row>
    <row r="6458" spans="1:2">
      <c r="A6458" s="55"/>
      <c r="B6458"/>
    </row>
    <row r="6459" spans="1:2">
      <c r="A6459" s="55"/>
      <c r="B6459"/>
    </row>
    <row r="6460" spans="1:2">
      <c r="A6460" s="55"/>
      <c r="B6460"/>
    </row>
    <row r="6461" spans="1:2">
      <c r="A6461" s="55"/>
      <c r="B6461"/>
    </row>
    <row r="6462" spans="1:2">
      <c r="A6462" s="55"/>
      <c r="B6462"/>
    </row>
    <row r="6463" spans="1:2">
      <c r="A6463" s="55"/>
      <c r="B6463"/>
    </row>
    <row r="6464" spans="1:2">
      <c r="A6464" s="55"/>
      <c r="B6464"/>
    </row>
    <row r="6465" spans="1:2">
      <c r="A6465" s="55"/>
      <c r="B6465"/>
    </row>
    <row r="6466" spans="1:2">
      <c r="A6466" s="55"/>
      <c r="B6466"/>
    </row>
    <row r="6467" spans="1:2">
      <c r="A6467" s="55"/>
      <c r="B6467"/>
    </row>
    <row r="6468" spans="1:2">
      <c r="A6468" s="55"/>
      <c r="B6468"/>
    </row>
    <row r="6469" spans="1:2">
      <c r="A6469" s="55"/>
      <c r="B6469"/>
    </row>
    <row r="6470" spans="1:2">
      <c r="A6470" s="55"/>
      <c r="B6470"/>
    </row>
    <row r="6471" spans="1:2">
      <c r="A6471" s="55"/>
      <c r="B6471"/>
    </row>
    <row r="6472" spans="1:2">
      <c r="A6472" s="55"/>
      <c r="B6472"/>
    </row>
    <row r="6473" spans="1:2">
      <c r="A6473" s="55"/>
      <c r="B6473"/>
    </row>
    <row r="6474" spans="1:2">
      <c r="A6474" s="55"/>
      <c r="B6474"/>
    </row>
    <row r="6475" spans="1:2">
      <c r="A6475" s="55"/>
      <c r="B6475"/>
    </row>
    <row r="6476" spans="1:2">
      <c r="A6476" s="55"/>
      <c r="B6476"/>
    </row>
    <row r="6477" spans="1:2">
      <c r="A6477" s="55"/>
      <c r="B6477"/>
    </row>
    <row r="6478" spans="1:2">
      <c r="A6478" s="55"/>
      <c r="B6478"/>
    </row>
    <row r="6479" spans="1:2">
      <c r="A6479" s="55"/>
      <c r="B6479"/>
    </row>
    <row r="6480" spans="1:2">
      <c r="A6480" s="55"/>
      <c r="B6480"/>
    </row>
    <row r="6481" spans="1:2">
      <c r="A6481" s="55"/>
      <c r="B6481"/>
    </row>
    <row r="6482" spans="1:2">
      <c r="A6482" s="55"/>
      <c r="B6482"/>
    </row>
    <row r="6483" spans="1:2">
      <c r="A6483" s="55"/>
      <c r="B6483"/>
    </row>
    <row r="6484" spans="1:2">
      <c r="A6484" s="55"/>
      <c r="B6484"/>
    </row>
    <row r="6485" spans="1:2">
      <c r="A6485" s="55"/>
      <c r="B6485"/>
    </row>
    <row r="6486" spans="1:2">
      <c r="A6486" s="55"/>
      <c r="B6486"/>
    </row>
    <row r="6487" spans="1:2">
      <c r="A6487" s="55"/>
      <c r="B6487"/>
    </row>
    <row r="6488" spans="1:2">
      <c r="A6488" s="55"/>
      <c r="B6488"/>
    </row>
    <row r="6489" spans="1:2">
      <c r="A6489" s="55"/>
      <c r="B6489"/>
    </row>
    <row r="6490" spans="1:2">
      <c r="A6490" s="55"/>
      <c r="B6490"/>
    </row>
    <row r="6491" spans="1:2">
      <c r="A6491" s="55"/>
      <c r="B6491"/>
    </row>
    <row r="6492" spans="1:2">
      <c r="A6492" s="55"/>
      <c r="B6492"/>
    </row>
    <row r="6493" spans="1:2">
      <c r="A6493" s="55"/>
      <c r="B6493"/>
    </row>
    <row r="6494" spans="1:2">
      <c r="A6494" s="55"/>
      <c r="B6494"/>
    </row>
    <row r="6495" spans="1:2">
      <c r="A6495" s="55"/>
      <c r="B6495"/>
    </row>
    <row r="6496" spans="1:2">
      <c r="A6496" s="55"/>
      <c r="B6496"/>
    </row>
    <row r="6497" spans="1:2">
      <c r="A6497" s="55"/>
      <c r="B6497"/>
    </row>
    <row r="6498" spans="1:2">
      <c r="A6498" s="55"/>
      <c r="B6498"/>
    </row>
    <row r="6499" spans="1:2">
      <c r="A6499" s="55"/>
      <c r="B6499"/>
    </row>
    <row r="6500" spans="1:2">
      <c r="A6500" s="55"/>
      <c r="B6500"/>
    </row>
    <row r="6501" spans="1:2">
      <c r="A6501" s="55"/>
      <c r="B6501"/>
    </row>
    <row r="6502" spans="1:2">
      <c r="A6502" s="55"/>
      <c r="B6502"/>
    </row>
    <row r="6503" spans="1:2">
      <c r="A6503" s="55"/>
      <c r="B6503"/>
    </row>
    <row r="6504" spans="1:2">
      <c r="A6504" s="55"/>
      <c r="B6504"/>
    </row>
    <row r="6505" spans="1:2">
      <c r="A6505" s="55"/>
      <c r="B6505"/>
    </row>
    <row r="6506" spans="1:2">
      <c r="A6506" s="55"/>
      <c r="B6506"/>
    </row>
    <row r="6507" spans="1:2">
      <c r="A6507" s="55"/>
      <c r="B6507"/>
    </row>
    <row r="6508" spans="1:2">
      <c r="A6508" s="55"/>
      <c r="B6508"/>
    </row>
    <row r="6509" spans="1:2">
      <c r="A6509" s="55"/>
      <c r="B6509"/>
    </row>
    <row r="6510" spans="1:2">
      <c r="A6510" s="55"/>
      <c r="B6510"/>
    </row>
    <row r="6511" spans="1:2">
      <c r="A6511" s="55"/>
      <c r="B6511"/>
    </row>
    <row r="6512" spans="1:2">
      <c r="A6512" s="55"/>
      <c r="B6512"/>
    </row>
    <row r="6513" spans="1:2">
      <c r="A6513" s="55"/>
      <c r="B6513"/>
    </row>
    <row r="6514" spans="1:2">
      <c r="A6514" s="55"/>
      <c r="B6514"/>
    </row>
    <row r="6515" spans="1:2">
      <c r="A6515" s="55"/>
      <c r="B6515"/>
    </row>
    <row r="6516" spans="1:2">
      <c r="A6516" s="55"/>
      <c r="B6516"/>
    </row>
    <row r="6517" spans="1:2">
      <c r="A6517" s="55"/>
      <c r="B6517"/>
    </row>
    <row r="6518" spans="1:2">
      <c r="A6518" s="55"/>
      <c r="B6518"/>
    </row>
    <row r="6519" spans="1:2">
      <c r="A6519" s="55"/>
      <c r="B6519"/>
    </row>
    <row r="6520" spans="1:2">
      <c r="A6520" s="55"/>
      <c r="B6520"/>
    </row>
    <row r="6521" spans="1:2">
      <c r="A6521" s="55"/>
      <c r="B6521"/>
    </row>
    <row r="6522" spans="1:2">
      <c r="A6522" s="55"/>
      <c r="B6522"/>
    </row>
    <row r="6523" spans="1:2">
      <c r="A6523" s="55"/>
      <c r="B6523"/>
    </row>
    <row r="6524" spans="1:2">
      <c r="A6524" s="55"/>
      <c r="B6524"/>
    </row>
    <row r="6525" spans="1:2">
      <c r="A6525" s="55"/>
      <c r="B6525"/>
    </row>
    <row r="6526" spans="1:2">
      <c r="A6526" s="55"/>
      <c r="B6526"/>
    </row>
    <row r="6527" spans="1:2">
      <c r="A6527" s="55"/>
      <c r="B6527"/>
    </row>
    <row r="6528" spans="1:2">
      <c r="A6528" s="55"/>
      <c r="B6528"/>
    </row>
    <row r="6529" spans="1:2">
      <c r="A6529" s="55"/>
      <c r="B6529"/>
    </row>
    <row r="6530" spans="1:2">
      <c r="A6530" s="55"/>
      <c r="B6530"/>
    </row>
    <row r="6531" spans="1:2">
      <c r="A6531" s="55"/>
      <c r="B6531"/>
    </row>
    <row r="6532" spans="1:2">
      <c r="A6532" s="55"/>
      <c r="B6532"/>
    </row>
    <row r="6533" spans="1:2">
      <c r="A6533" s="55"/>
      <c r="B6533"/>
    </row>
    <row r="6534" spans="1:2">
      <c r="A6534" s="55"/>
      <c r="B6534"/>
    </row>
    <row r="6535" spans="1:2">
      <c r="A6535" s="55"/>
      <c r="B6535"/>
    </row>
    <row r="6536" spans="1:2">
      <c r="A6536" s="55"/>
      <c r="B6536"/>
    </row>
    <row r="6537" spans="1:2">
      <c r="A6537" s="55"/>
      <c r="B6537"/>
    </row>
    <row r="6538" spans="1:2">
      <c r="A6538" s="55"/>
      <c r="B6538"/>
    </row>
    <row r="6539" spans="1:2">
      <c r="A6539" s="55"/>
      <c r="B6539"/>
    </row>
    <row r="6540" spans="1:2">
      <c r="A6540" s="55"/>
      <c r="B6540"/>
    </row>
    <row r="6541" spans="1:2">
      <c r="A6541" s="55"/>
      <c r="B6541"/>
    </row>
    <row r="6542" spans="1:2">
      <c r="A6542" s="55"/>
      <c r="B6542"/>
    </row>
    <row r="6543" spans="1:2">
      <c r="A6543" s="55"/>
      <c r="B6543"/>
    </row>
    <row r="6544" spans="1:2">
      <c r="A6544" s="55"/>
      <c r="B6544"/>
    </row>
    <row r="6545" spans="1:2">
      <c r="A6545" s="55"/>
      <c r="B6545"/>
    </row>
    <row r="6546" spans="1:2">
      <c r="A6546" s="55"/>
      <c r="B6546"/>
    </row>
    <row r="6547" spans="1:2">
      <c r="A6547" s="55"/>
      <c r="B6547"/>
    </row>
    <row r="6548" spans="1:2">
      <c r="A6548" s="55"/>
      <c r="B6548"/>
    </row>
    <row r="6549" spans="1:2">
      <c r="A6549" s="55"/>
      <c r="B6549"/>
    </row>
    <row r="6550" spans="1:2">
      <c r="A6550" s="55"/>
      <c r="B6550"/>
    </row>
    <row r="6551" spans="1:2">
      <c r="A6551" s="55"/>
      <c r="B6551"/>
    </row>
    <row r="6552" spans="1:2">
      <c r="A6552" s="55"/>
      <c r="B6552"/>
    </row>
    <row r="6553" spans="1:2">
      <c r="A6553" s="55"/>
      <c r="B6553"/>
    </row>
    <row r="6554" spans="1:2">
      <c r="A6554" s="55"/>
      <c r="B6554"/>
    </row>
    <row r="6555" spans="1:2">
      <c r="A6555" s="55"/>
      <c r="B6555"/>
    </row>
    <row r="6556" spans="1:2">
      <c r="A6556" s="55"/>
      <c r="B6556"/>
    </row>
    <row r="6557" spans="1:2">
      <c r="A6557" s="55"/>
      <c r="B6557"/>
    </row>
    <row r="6558" spans="1:2">
      <c r="A6558" s="55"/>
      <c r="B6558"/>
    </row>
    <row r="6559" spans="1:2">
      <c r="A6559" s="55"/>
      <c r="B6559"/>
    </row>
    <row r="6560" spans="1:2">
      <c r="A6560" s="55"/>
      <c r="B6560"/>
    </row>
    <row r="6561" spans="1:2">
      <c r="A6561" s="55"/>
      <c r="B6561"/>
    </row>
    <row r="6562" spans="1:2">
      <c r="A6562" s="55"/>
      <c r="B6562"/>
    </row>
    <row r="6563" spans="1:2">
      <c r="A6563" s="55"/>
      <c r="B6563"/>
    </row>
    <row r="6564" spans="1:2">
      <c r="A6564" s="55"/>
      <c r="B6564"/>
    </row>
    <row r="6565" spans="1:2">
      <c r="A6565" s="55"/>
      <c r="B6565"/>
    </row>
    <row r="6566" spans="1:2">
      <c r="A6566" s="55"/>
      <c r="B6566"/>
    </row>
    <row r="6567" spans="1:2">
      <c r="A6567" s="55"/>
      <c r="B6567"/>
    </row>
    <row r="6568" spans="1:2">
      <c r="A6568" s="55"/>
      <c r="B6568"/>
    </row>
    <row r="6569" spans="1:2">
      <c r="A6569" s="55"/>
      <c r="B6569"/>
    </row>
    <row r="6570" spans="1:2">
      <c r="A6570" s="55"/>
      <c r="B6570"/>
    </row>
    <row r="6571" spans="1:2">
      <c r="A6571" s="55"/>
      <c r="B6571"/>
    </row>
    <row r="6572" spans="1:2">
      <c r="A6572" s="55"/>
      <c r="B6572"/>
    </row>
    <row r="6573" spans="1:2">
      <c r="A6573" s="55"/>
      <c r="B6573"/>
    </row>
    <row r="6574" spans="1:2">
      <c r="A6574" s="55"/>
      <c r="B6574"/>
    </row>
    <row r="6575" spans="1:2">
      <c r="A6575" s="55"/>
      <c r="B6575"/>
    </row>
    <row r="6576" spans="1:2">
      <c r="A6576" s="55"/>
      <c r="B6576"/>
    </row>
    <row r="6577" spans="1:2">
      <c r="A6577" s="55"/>
      <c r="B6577"/>
    </row>
    <row r="6578" spans="1:2">
      <c r="A6578" s="55"/>
      <c r="B6578"/>
    </row>
    <row r="6579" spans="1:2">
      <c r="A6579" s="55"/>
      <c r="B6579"/>
    </row>
    <row r="6580" spans="1:2">
      <c r="A6580" s="55"/>
      <c r="B6580"/>
    </row>
    <row r="6581" spans="1:2">
      <c r="A6581" s="55"/>
      <c r="B6581"/>
    </row>
    <row r="6582" spans="1:2">
      <c r="A6582" s="55"/>
      <c r="B6582"/>
    </row>
    <row r="6583" spans="1:2">
      <c r="A6583" s="55"/>
      <c r="B6583"/>
    </row>
    <row r="6584" spans="1:2">
      <c r="A6584" s="55"/>
      <c r="B6584"/>
    </row>
    <row r="6585" spans="1:2">
      <c r="A6585" s="55"/>
      <c r="B6585"/>
    </row>
    <row r="6586" spans="1:2">
      <c r="A6586" s="55"/>
      <c r="B6586"/>
    </row>
    <row r="6587" spans="1:2">
      <c r="A6587" s="55"/>
      <c r="B6587"/>
    </row>
    <row r="6588" spans="1:2">
      <c r="A6588" s="55"/>
      <c r="B6588"/>
    </row>
    <row r="6589" spans="1:2">
      <c r="A6589" s="55"/>
      <c r="B6589"/>
    </row>
    <row r="6590" spans="1:2">
      <c r="A6590" s="55"/>
      <c r="B6590"/>
    </row>
    <row r="6591" spans="1:2">
      <c r="A6591" s="55"/>
      <c r="B6591"/>
    </row>
    <row r="6592" spans="1:2">
      <c r="A6592" s="55"/>
      <c r="B6592"/>
    </row>
    <row r="6593" spans="1:2">
      <c r="A6593" s="55"/>
      <c r="B6593"/>
    </row>
    <row r="6594" spans="1:2">
      <c r="A6594" s="55"/>
      <c r="B6594"/>
    </row>
    <row r="6595" spans="1:2">
      <c r="A6595" s="55"/>
      <c r="B6595"/>
    </row>
    <row r="6596" spans="1:2">
      <c r="A6596" s="55"/>
      <c r="B6596"/>
    </row>
    <row r="6597" spans="1:2">
      <c r="A6597" s="55"/>
      <c r="B6597"/>
    </row>
    <row r="6598" spans="1:2">
      <c r="A6598" s="55"/>
      <c r="B6598"/>
    </row>
    <row r="6599" spans="1:2">
      <c r="A6599" s="55"/>
      <c r="B6599"/>
    </row>
    <row r="6600" spans="1:2">
      <c r="A6600" s="55"/>
      <c r="B6600"/>
    </row>
    <row r="6601" spans="1:2">
      <c r="A6601" s="55"/>
      <c r="B6601"/>
    </row>
    <row r="6602" spans="1:2">
      <c r="A6602" s="55"/>
      <c r="B6602"/>
    </row>
    <row r="6603" spans="1:2">
      <c r="A6603" s="55"/>
      <c r="B6603"/>
    </row>
    <row r="6604" spans="1:2">
      <c r="A6604" s="55"/>
      <c r="B6604"/>
    </row>
    <row r="6605" spans="1:2">
      <c r="A6605" s="55"/>
      <c r="B6605"/>
    </row>
    <row r="6606" spans="1:2">
      <c r="A6606" s="55"/>
      <c r="B6606"/>
    </row>
    <row r="6607" spans="1:2">
      <c r="A6607" s="55"/>
      <c r="B6607"/>
    </row>
    <row r="6608" spans="1:2">
      <c r="A6608" s="55"/>
      <c r="B6608"/>
    </row>
    <row r="6609" spans="1:2">
      <c r="A6609" s="55"/>
      <c r="B6609"/>
    </row>
    <row r="6610" spans="1:2">
      <c r="A6610" s="55"/>
      <c r="B6610"/>
    </row>
    <row r="6611" spans="1:2">
      <c r="A6611" s="55"/>
      <c r="B6611"/>
    </row>
    <row r="6612" spans="1:2">
      <c r="A6612" s="55"/>
      <c r="B6612"/>
    </row>
    <row r="6613" spans="1:2">
      <c r="A6613" s="55"/>
      <c r="B6613"/>
    </row>
    <row r="6614" spans="1:2">
      <c r="A6614" s="55"/>
      <c r="B6614"/>
    </row>
    <row r="6615" spans="1:2">
      <c r="A6615" s="55"/>
      <c r="B6615"/>
    </row>
    <row r="6616" spans="1:2">
      <c r="A6616" s="55"/>
      <c r="B6616"/>
    </row>
    <row r="6617" spans="1:2">
      <c r="A6617" s="55"/>
      <c r="B6617"/>
    </row>
    <row r="6618" spans="1:2">
      <c r="A6618" s="55"/>
      <c r="B6618"/>
    </row>
    <row r="6619" spans="1:2">
      <c r="A6619" s="55"/>
      <c r="B6619"/>
    </row>
    <row r="6620" spans="1:2">
      <c r="A6620" s="55"/>
      <c r="B6620"/>
    </row>
    <row r="6621" spans="1:2">
      <c r="A6621" s="55"/>
      <c r="B6621"/>
    </row>
    <row r="6622" spans="1:2">
      <c r="A6622" s="55"/>
      <c r="B6622"/>
    </row>
    <row r="6623" spans="1:2">
      <c r="A6623" s="55"/>
      <c r="B6623"/>
    </row>
    <row r="6624" spans="1:2">
      <c r="A6624" s="55"/>
      <c r="B6624"/>
    </row>
    <row r="6625" spans="1:2">
      <c r="A6625" s="55"/>
      <c r="B6625"/>
    </row>
    <row r="6626" spans="1:2">
      <c r="A6626" s="55"/>
      <c r="B6626"/>
    </row>
    <row r="6627" spans="1:2">
      <c r="A6627" s="55"/>
      <c r="B6627"/>
    </row>
    <row r="6628" spans="1:2">
      <c r="A6628" s="55"/>
      <c r="B6628"/>
    </row>
    <row r="6629" spans="1:2">
      <c r="A6629" s="55"/>
      <c r="B6629"/>
    </row>
    <row r="6630" spans="1:2">
      <c r="A6630" s="55"/>
      <c r="B6630"/>
    </row>
    <row r="6631" spans="1:2">
      <c r="A6631" s="55"/>
      <c r="B6631"/>
    </row>
    <row r="6632" spans="1:2">
      <c r="A6632" s="55"/>
      <c r="B6632"/>
    </row>
    <row r="6633" spans="1:2">
      <c r="A6633" s="55"/>
      <c r="B6633"/>
    </row>
    <row r="6634" spans="1:2">
      <c r="A6634" s="55"/>
      <c r="B6634"/>
    </row>
    <row r="6635" spans="1:2">
      <c r="A6635" s="55"/>
      <c r="B6635"/>
    </row>
    <row r="6636" spans="1:2">
      <c r="A6636" s="55"/>
      <c r="B6636"/>
    </row>
    <row r="6637" spans="1:2">
      <c r="A6637" s="55"/>
      <c r="B6637"/>
    </row>
    <row r="6638" spans="1:2">
      <c r="A6638" s="55"/>
      <c r="B6638"/>
    </row>
    <row r="6639" spans="1:2">
      <c r="A6639" s="55"/>
      <c r="B6639"/>
    </row>
    <row r="6640" spans="1:2">
      <c r="A6640" s="55"/>
      <c r="B6640"/>
    </row>
    <row r="6641" spans="1:2">
      <c r="A6641" s="55"/>
      <c r="B6641"/>
    </row>
    <row r="6642" spans="1:2">
      <c r="A6642" s="55"/>
      <c r="B6642"/>
    </row>
    <row r="6643" spans="1:2">
      <c r="A6643" s="55"/>
      <c r="B6643"/>
    </row>
    <row r="6644" spans="1:2">
      <c r="A6644" s="55"/>
      <c r="B6644"/>
    </row>
    <row r="6645" spans="1:2">
      <c r="A6645" s="55"/>
      <c r="B6645"/>
    </row>
    <row r="6646" spans="1:2">
      <c r="A6646" s="55"/>
      <c r="B6646"/>
    </row>
    <row r="6647" spans="1:2">
      <c r="A6647" s="55"/>
      <c r="B6647"/>
    </row>
    <row r="6648" spans="1:2">
      <c r="A6648" s="55"/>
      <c r="B6648"/>
    </row>
    <row r="6649" spans="1:2">
      <c r="A6649" s="55"/>
      <c r="B6649"/>
    </row>
    <row r="6650" spans="1:2">
      <c r="A6650" s="55"/>
      <c r="B6650"/>
    </row>
    <row r="6651" spans="1:2">
      <c r="A6651" s="55"/>
      <c r="B6651"/>
    </row>
    <row r="6652" spans="1:2">
      <c r="A6652" s="55"/>
      <c r="B6652"/>
    </row>
    <row r="6653" spans="1:2">
      <c r="A6653" s="55"/>
      <c r="B6653"/>
    </row>
    <row r="6654" spans="1:2">
      <c r="A6654" s="55"/>
      <c r="B6654"/>
    </row>
    <row r="6655" spans="1:2">
      <c r="A6655" s="55"/>
      <c r="B6655"/>
    </row>
    <row r="6656" spans="1:2">
      <c r="A6656" s="55"/>
      <c r="B6656"/>
    </row>
    <row r="6657" spans="1:2">
      <c r="A6657" s="55"/>
      <c r="B6657"/>
    </row>
    <row r="6658" spans="1:2">
      <c r="A6658" s="55"/>
      <c r="B6658"/>
    </row>
    <row r="6659" spans="1:2">
      <c r="A6659" s="55"/>
      <c r="B6659"/>
    </row>
    <row r="6660" spans="1:2">
      <c r="A6660" s="55"/>
      <c r="B6660"/>
    </row>
    <row r="6661" spans="1:2">
      <c r="A6661" s="55"/>
      <c r="B6661"/>
    </row>
    <row r="6662" spans="1:2">
      <c r="A6662" s="55"/>
      <c r="B6662"/>
    </row>
    <row r="6663" spans="1:2">
      <c r="A6663" s="55"/>
      <c r="B6663"/>
    </row>
    <row r="6664" spans="1:2">
      <c r="A6664" s="55"/>
      <c r="B6664"/>
    </row>
    <row r="6665" spans="1:2">
      <c r="A6665" s="55"/>
      <c r="B6665"/>
    </row>
    <row r="6666" spans="1:2">
      <c r="A6666" s="55"/>
      <c r="B6666"/>
    </row>
    <row r="6667" spans="1:2">
      <c r="A6667" s="55"/>
      <c r="B6667"/>
    </row>
    <row r="6668" spans="1:2">
      <c r="A6668" s="55"/>
      <c r="B6668"/>
    </row>
    <row r="6669" spans="1:2">
      <c r="A6669" s="55"/>
      <c r="B6669"/>
    </row>
    <row r="6670" spans="1:2">
      <c r="A6670" s="55"/>
      <c r="B6670"/>
    </row>
    <row r="6671" spans="1:2">
      <c r="A6671" s="55"/>
      <c r="B6671"/>
    </row>
    <row r="6672" spans="1:2">
      <c r="A6672" s="55"/>
      <c r="B6672"/>
    </row>
    <row r="6673" spans="1:2">
      <c r="A6673" s="55"/>
      <c r="B6673"/>
    </row>
    <row r="6674" spans="1:2">
      <c r="A6674" s="55"/>
      <c r="B6674"/>
    </row>
    <row r="6675" spans="1:2">
      <c r="A6675" s="55"/>
      <c r="B6675"/>
    </row>
    <row r="6676" spans="1:2">
      <c r="A6676" s="55"/>
      <c r="B6676"/>
    </row>
    <row r="6677" spans="1:2">
      <c r="A6677" s="55"/>
      <c r="B6677"/>
    </row>
    <row r="6678" spans="1:2">
      <c r="A6678" s="55"/>
      <c r="B6678"/>
    </row>
    <row r="6679" spans="1:2">
      <c r="A6679" s="55"/>
      <c r="B6679"/>
    </row>
    <row r="6680" spans="1:2">
      <c r="A6680" s="55"/>
      <c r="B6680"/>
    </row>
    <row r="6681" spans="1:2">
      <c r="A6681" s="55"/>
      <c r="B6681"/>
    </row>
    <row r="6682" spans="1:2">
      <c r="A6682" s="55"/>
      <c r="B6682"/>
    </row>
    <row r="6683" spans="1:2">
      <c r="A6683" s="55"/>
      <c r="B6683"/>
    </row>
    <row r="6684" spans="1:2">
      <c r="A6684" s="55"/>
      <c r="B6684"/>
    </row>
    <row r="6685" spans="1:2">
      <c r="A6685" s="55"/>
      <c r="B6685"/>
    </row>
    <row r="6686" spans="1:2">
      <c r="A6686" s="55"/>
      <c r="B6686"/>
    </row>
    <row r="6687" spans="1:2">
      <c r="A6687" s="55"/>
      <c r="B6687"/>
    </row>
    <row r="6688" spans="1:2">
      <c r="A6688" s="55"/>
      <c r="B6688"/>
    </row>
    <row r="6689" spans="1:2">
      <c r="A6689" s="55"/>
      <c r="B6689"/>
    </row>
    <row r="6690" spans="1:2">
      <c r="A6690" s="55"/>
      <c r="B6690"/>
    </row>
    <row r="6691" spans="1:2">
      <c r="A6691" s="55"/>
      <c r="B6691"/>
    </row>
    <row r="6692" spans="1:2">
      <c r="A6692" s="55"/>
      <c r="B6692"/>
    </row>
    <row r="6693" spans="1:2">
      <c r="A6693" s="55"/>
      <c r="B6693"/>
    </row>
    <row r="6694" spans="1:2">
      <c r="A6694" s="55"/>
      <c r="B6694"/>
    </row>
    <row r="6695" spans="1:2">
      <c r="A6695" s="55"/>
      <c r="B6695"/>
    </row>
    <row r="6696" spans="1:2">
      <c r="A6696" s="55"/>
      <c r="B6696"/>
    </row>
    <row r="6697" spans="1:2">
      <c r="A6697" s="55"/>
      <c r="B6697"/>
    </row>
    <row r="6698" spans="1:2">
      <c r="A6698" s="55"/>
      <c r="B6698"/>
    </row>
    <row r="6699" spans="1:2">
      <c r="A6699" s="55"/>
      <c r="B6699"/>
    </row>
    <row r="6700" spans="1:2">
      <c r="A6700" s="55"/>
      <c r="B6700"/>
    </row>
    <row r="6701" spans="1:2">
      <c r="A6701" s="55"/>
      <c r="B6701"/>
    </row>
    <row r="6702" spans="1:2">
      <c r="A6702" s="55"/>
      <c r="B6702"/>
    </row>
    <row r="6703" spans="1:2">
      <c r="A6703" s="55"/>
      <c r="B6703"/>
    </row>
    <row r="6704" spans="1:2">
      <c r="A6704" s="55"/>
      <c r="B6704"/>
    </row>
    <row r="6705" spans="1:2">
      <c r="A6705" s="55"/>
      <c r="B6705"/>
    </row>
    <row r="6706" spans="1:2">
      <c r="A6706" s="55"/>
      <c r="B6706"/>
    </row>
    <row r="6707" spans="1:2">
      <c r="A6707" s="55"/>
      <c r="B6707"/>
    </row>
    <row r="6708" spans="1:2">
      <c r="A6708" s="55"/>
      <c r="B6708"/>
    </row>
    <row r="6709" spans="1:2">
      <c r="A6709" s="55"/>
      <c r="B6709"/>
    </row>
    <row r="6710" spans="1:2">
      <c r="A6710" s="55"/>
      <c r="B6710"/>
    </row>
    <row r="6711" spans="1:2">
      <c r="A6711" s="55"/>
      <c r="B6711"/>
    </row>
    <row r="6712" spans="1:2">
      <c r="A6712" s="55"/>
      <c r="B6712"/>
    </row>
    <row r="6713" spans="1:2">
      <c r="A6713" s="55"/>
      <c r="B6713"/>
    </row>
    <row r="6714" spans="1:2">
      <c r="A6714" s="55"/>
      <c r="B6714"/>
    </row>
    <row r="6715" spans="1:2">
      <c r="A6715" s="55"/>
      <c r="B6715"/>
    </row>
    <row r="6716" spans="1:2">
      <c r="A6716" s="55"/>
      <c r="B6716"/>
    </row>
    <row r="6717" spans="1:2">
      <c r="A6717" s="55"/>
      <c r="B6717"/>
    </row>
    <row r="6718" spans="1:2">
      <c r="A6718" s="55"/>
      <c r="B6718"/>
    </row>
    <row r="6719" spans="1:2">
      <c r="A6719" s="55"/>
      <c r="B6719"/>
    </row>
    <row r="6720" spans="1:2">
      <c r="A6720" s="55"/>
      <c r="B6720"/>
    </row>
    <row r="6721" spans="1:2">
      <c r="A6721" s="55"/>
      <c r="B6721"/>
    </row>
    <row r="6722" spans="1:2">
      <c r="A6722" s="55"/>
      <c r="B6722"/>
    </row>
    <row r="6723" spans="1:2">
      <c r="A6723" s="55"/>
      <c r="B6723"/>
    </row>
    <row r="6724" spans="1:2">
      <c r="A6724" s="55"/>
      <c r="B6724"/>
    </row>
    <row r="6725" spans="1:2">
      <c r="A6725" s="55"/>
      <c r="B6725"/>
    </row>
    <row r="6726" spans="1:2">
      <c r="A6726" s="55"/>
      <c r="B6726"/>
    </row>
    <row r="6727" spans="1:2">
      <c r="A6727" s="55"/>
      <c r="B6727"/>
    </row>
    <row r="6728" spans="1:2">
      <c r="A6728" s="55"/>
      <c r="B6728"/>
    </row>
    <row r="6729" spans="1:2">
      <c r="A6729" s="55"/>
      <c r="B6729"/>
    </row>
    <row r="6730" spans="1:2">
      <c r="A6730" s="55"/>
      <c r="B6730"/>
    </row>
    <row r="6731" spans="1:2">
      <c r="A6731" s="55"/>
      <c r="B6731"/>
    </row>
    <row r="6732" spans="1:2">
      <c r="A6732" s="55"/>
      <c r="B6732"/>
    </row>
    <row r="6733" spans="1:2">
      <c r="A6733" s="55"/>
      <c r="B6733"/>
    </row>
    <row r="6734" spans="1:2">
      <c r="A6734" s="55"/>
      <c r="B6734"/>
    </row>
    <row r="6735" spans="1:2">
      <c r="A6735" s="55"/>
      <c r="B6735"/>
    </row>
    <row r="6736" spans="1:2">
      <c r="A6736" s="55"/>
      <c r="B6736"/>
    </row>
    <row r="6737" spans="1:2">
      <c r="A6737" s="55"/>
      <c r="B6737"/>
    </row>
    <row r="6738" spans="1:2">
      <c r="A6738" s="55"/>
      <c r="B6738"/>
    </row>
    <row r="6739" spans="1:2">
      <c r="A6739" s="55"/>
      <c r="B6739"/>
    </row>
    <row r="6740" spans="1:2">
      <c r="A6740" s="55"/>
      <c r="B6740"/>
    </row>
    <row r="6741" spans="1:2">
      <c r="A6741" s="55"/>
      <c r="B6741"/>
    </row>
    <row r="6742" spans="1:2">
      <c r="A6742" s="55"/>
      <c r="B6742"/>
    </row>
    <row r="6743" spans="1:2">
      <c r="A6743" s="55"/>
      <c r="B6743"/>
    </row>
    <row r="6744" spans="1:2">
      <c r="A6744" s="55"/>
      <c r="B6744"/>
    </row>
    <row r="6745" spans="1:2">
      <c r="A6745" s="55"/>
      <c r="B6745"/>
    </row>
    <row r="6746" spans="1:2">
      <c r="A6746" s="55"/>
      <c r="B6746"/>
    </row>
    <row r="6747" spans="1:2">
      <c r="A6747" s="55"/>
      <c r="B6747"/>
    </row>
    <row r="6748" spans="1:2">
      <c r="A6748" s="55"/>
      <c r="B6748"/>
    </row>
    <row r="6749" spans="1:2">
      <c r="A6749" s="55"/>
      <c r="B6749"/>
    </row>
    <row r="6750" spans="1:2">
      <c r="A6750" s="55"/>
      <c r="B6750"/>
    </row>
    <row r="6751" spans="1:2">
      <c r="A6751" s="55"/>
      <c r="B6751"/>
    </row>
    <row r="6752" spans="1:2">
      <c r="A6752" s="55"/>
      <c r="B6752"/>
    </row>
    <row r="6753" spans="1:2">
      <c r="A6753" s="55"/>
      <c r="B6753"/>
    </row>
    <row r="6754" spans="1:2">
      <c r="A6754" s="55"/>
      <c r="B6754"/>
    </row>
    <row r="6755" spans="1:2">
      <c r="A6755" s="55"/>
      <c r="B6755"/>
    </row>
    <row r="6756" spans="1:2">
      <c r="A6756" s="55"/>
      <c r="B6756"/>
    </row>
    <row r="6757" spans="1:2">
      <c r="A6757" s="55"/>
      <c r="B6757"/>
    </row>
    <row r="6758" spans="1:2">
      <c r="A6758" s="55"/>
      <c r="B6758"/>
    </row>
    <row r="6759" spans="1:2">
      <c r="A6759" s="55"/>
      <c r="B6759"/>
    </row>
    <row r="6760" spans="1:2">
      <c r="A6760" s="55"/>
      <c r="B6760"/>
    </row>
    <row r="6761" spans="1:2">
      <c r="A6761" s="55"/>
      <c r="B6761"/>
    </row>
    <row r="6762" spans="1:2">
      <c r="A6762" s="55"/>
      <c r="B6762"/>
    </row>
    <row r="6763" spans="1:2">
      <c r="A6763" s="55"/>
      <c r="B6763"/>
    </row>
    <row r="6764" spans="1:2">
      <c r="A6764" s="55"/>
      <c r="B6764"/>
    </row>
    <row r="6765" spans="1:2">
      <c r="A6765" s="55"/>
      <c r="B6765"/>
    </row>
    <row r="6766" spans="1:2">
      <c r="A6766" s="55"/>
      <c r="B6766"/>
    </row>
    <row r="6767" spans="1:2">
      <c r="A6767" s="55"/>
      <c r="B6767"/>
    </row>
    <row r="6768" spans="1:2">
      <c r="A6768" s="55"/>
      <c r="B6768"/>
    </row>
    <row r="6769" spans="1:2">
      <c r="A6769" s="55"/>
      <c r="B6769"/>
    </row>
    <row r="6770" spans="1:2">
      <c r="A6770" s="55"/>
      <c r="B6770"/>
    </row>
    <row r="6771" spans="1:2">
      <c r="A6771" s="55"/>
      <c r="B6771"/>
    </row>
    <row r="6772" spans="1:2">
      <c r="A6772" s="55"/>
      <c r="B6772"/>
    </row>
    <row r="6773" spans="1:2">
      <c r="A6773" s="55"/>
      <c r="B6773"/>
    </row>
    <row r="6774" spans="1:2">
      <c r="A6774" s="55"/>
      <c r="B6774"/>
    </row>
    <row r="6775" spans="1:2">
      <c r="A6775" s="55"/>
      <c r="B6775"/>
    </row>
    <row r="6776" spans="1:2">
      <c r="A6776" s="55"/>
      <c r="B6776"/>
    </row>
    <row r="6777" spans="1:2">
      <c r="A6777" s="55"/>
      <c r="B6777"/>
    </row>
    <row r="6778" spans="1:2">
      <c r="A6778" s="55"/>
      <c r="B6778"/>
    </row>
    <row r="6779" spans="1:2">
      <c r="A6779" s="55"/>
      <c r="B6779"/>
    </row>
    <row r="6780" spans="1:2">
      <c r="A6780" s="55"/>
      <c r="B6780"/>
    </row>
    <row r="6781" spans="1:2">
      <c r="A6781" s="55"/>
      <c r="B6781"/>
    </row>
    <row r="6782" spans="1:2">
      <c r="A6782" s="55"/>
      <c r="B6782"/>
    </row>
    <row r="6783" spans="1:2">
      <c r="A6783" s="55"/>
      <c r="B6783"/>
    </row>
    <row r="6784" spans="1:2">
      <c r="A6784" s="55"/>
      <c r="B6784"/>
    </row>
    <row r="6785" spans="1:2">
      <c r="A6785" s="55"/>
      <c r="B6785"/>
    </row>
    <row r="6786" spans="1:2">
      <c r="A6786" s="55"/>
      <c r="B6786"/>
    </row>
    <row r="6787" spans="1:2">
      <c r="A6787" s="55"/>
      <c r="B6787"/>
    </row>
    <row r="6788" spans="1:2">
      <c r="A6788" s="55"/>
      <c r="B6788"/>
    </row>
    <row r="6789" spans="1:2">
      <c r="A6789" s="55"/>
      <c r="B6789"/>
    </row>
    <row r="6790" spans="1:2">
      <c r="A6790" s="55"/>
      <c r="B6790"/>
    </row>
    <row r="6791" spans="1:2">
      <c r="A6791" s="55"/>
      <c r="B6791"/>
    </row>
    <row r="6792" spans="1:2">
      <c r="A6792" s="55"/>
      <c r="B6792"/>
    </row>
    <row r="6793" spans="1:2">
      <c r="A6793" s="55"/>
      <c r="B6793"/>
    </row>
    <row r="6794" spans="1:2">
      <c r="A6794" s="55"/>
      <c r="B6794"/>
    </row>
    <row r="6795" spans="1:2">
      <c r="A6795" s="55"/>
      <c r="B6795"/>
    </row>
    <row r="6796" spans="1:2">
      <c r="A6796" s="55"/>
      <c r="B6796"/>
    </row>
    <row r="6797" spans="1:2">
      <c r="A6797" s="55"/>
      <c r="B6797"/>
    </row>
    <row r="6798" spans="1:2">
      <c r="A6798" s="55"/>
      <c r="B6798"/>
    </row>
    <row r="6799" spans="1:2">
      <c r="A6799" s="55"/>
      <c r="B6799"/>
    </row>
    <row r="6800" spans="1:2">
      <c r="A6800" s="55"/>
      <c r="B6800"/>
    </row>
    <row r="6801" spans="1:2">
      <c r="A6801" s="55"/>
      <c r="B6801"/>
    </row>
    <row r="6802" spans="1:2">
      <c r="A6802" s="55"/>
      <c r="B6802"/>
    </row>
    <row r="6803" spans="1:2">
      <c r="A6803" s="55"/>
      <c r="B6803"/>
    </row>
    <row r="6804" spans="1:2">
      <c r="A6804" s="55"/>
      <c r="B6804"/>
    </row>
    <row r="6805" spans="1:2">
      <c r="A6805" s="55"/>
      <c r="B6805"/>
    </row>
    <row r="6806" spans="1:2">
      <c r="A6806" s="55"/>
      <c r="B6806"/>
    </row>
    <row r="6807" spans="1:2">
      <c r="A6807" s="55"/>
      <c r="B6807"/>
    </row>
    <row r="6808" spans="1:2">
      <c r="A6808" s="55"/>
      <c r="B6808"/>
    </row>
    <row r="6809" spans="1:2">
      <c r="A6809" s="55"/>
      <c r="B6809"/>
    </row>
    <row r="6810" spans="1:2">
      <c r="A6810" s="55"/>
      <c r="B6810"/>
    </row>
    <row r="6811" spans="1:2">
      <c r="A6811" s="55"/>
      <c r="B6811"/>
    </row>
    <row r="6812" spans="1:2">
      <c r="A6812" s="55"/>
      <c r="B6812"/>
    </row>
    <row r="6813" spans="1:2">
      <c r="A6813" s="55"/>
      <c r="B6813"/>
    </row>
    <row r="6814" spans="1:2">
      <c r="A6814" s="55"/>
      <c r="B6814"/>
    </row>
    <row r="6815" spans="1:2">
      <c r="A6815" s="55"/>
      <c r="B6815"/>
    </row>
    <row r="6816" spans="1:2">
      <c r="A6816" s="55"/>
      <c r="B6816"/>
    </row>
    <row r="6817" spans="1:2">
      <c r="A6817" s="55"/>
      <c r="B6817"/>
    </row>
    <row r="6818" spans="1:2">
      <c r="A6818" s="55"/>
      <c r="B6818"/>
    </row>
    <row r="6819" spans="1:2">
      <c r="A6819" s="55"/>
      <c r="B6819"/>
    </row>
    <row r="6820" spans="1:2">
      <c r="A6820" s="55"/>
      <c r="B6820"/>
    </row>
    <row r="6821" spans="1:2">
      <c r="A6821" s="55"/>
      <c r="B6821"/>
    </row>
    <row r="6822" spans="1:2">
      <c r="A6822" s="55"/>
      <c r="B6822"/>
    </row>
    <row r="6823" spans="1:2">
      <c r="A6823" s="55"/>
      <c r="B6823"/>
    </row>
    <row r="6824" spans="1:2">
      <c r="A6824" s="55"/>
      <c r="B6824"/>
    </row>
    <row r="6825" spans="1:2">
      <c r="A6825" s="55"/>
      <c r="B6825"/>
    </row>
    <row r="6826" spans="1:2">
      <c r="A6826" s="55"/>
      <c r="B6826"/>
    </row>
    <row r="6827" spans="1:2">
      <c r="A6827" s="55"/>
      <c r="B6827"/>
    </row>
    <row r="6828" spans="1:2">
      <c r="A6828" s="55"/>
      <c r="B6828"/>
    </row>
    <row r="6829" spans="1:2">
      <c r="A6829" s="55"/>
      <c r="B6829"/>
    </row>
    <row r="6830" spans="1:2">
      <c r="A6830" s="55"/>
      <c r="B6830"/>
    </row>
    <row r="6831" spans="1:2">
      <c r="A6831" s="55"/>
      <c r="B6831"/>
    </row>
    <row r="6832" spans="1:2">
      <c r="A6832" s="55"/>
      <c r="B6832"/>
    </row>
    <row r="6833" spans="1:2">
      <c r="A6833" s="55"/>
      <c r="B6833"/>
    </row>
    <row r="6834" spans="1:2">
      <c r="A6834" s="55"/>
      <c r="B6834"/>
    </row>
    <row r="6835" spans="1:2">
      <c r="A6835" s="55"/>
      <c r="B6835"/>
    </row>
    <row r="6836" spans="1:2">
      <c r="A6836" s="55"/>
      <c r="B6836"/>
    </row>
    <row r="6837" spans="1:2">
      <c r="A6837" s="55"/>
      <c r="B6837"/>
    </row>
    <row r="6838" spans="1:2">
      <c r="A6838" s="55"/>
      <c r="B6838"/>
    </row>
    <row r="6839" spans="1:2">
      <c r="A6839" s="55"/>
      <c r="B6839"/>
    </row>
    <row r="6840" spans="1:2">
      <c r="A6840" s="55"/>
      <c r="B6840"/>
    </row>
    <row r="6841" spans="1:2">
      <c r="A6841" s="55"/>
      <c r="B6841"/>
    </row>
    <row r="6842" spans="1:2">
      <c r="A6842" s="55"/>
      <c r="B6842"/>
    </row>
    <row r="6843" spans="1:2">
      <c r="A6843" s="55"/>
      <c r="B6843"/>
    </row>
    <row r="6844" spans="1:2">
      <c r="A6844" s="55"/>
      <c r="B6844"/>
    </row>
    <row r="6845" spans="1:2">
      <c r="A6845" s="55"/>
      <c r="B6845"/>
    </row>
    <row r="6846" spans="1:2">
      <c r="A6846" s="55"/>
      <c r="B6846"/>
    </row>
    <row r="6847" spans="1:2">
      <c r="A6847" s="55"/>
      <c r="B6847"/>
    </row>
    <row r="6848" spans="1:2">
      <c r="A6848" s="55"/>
      <c r="B6848"/>
    </row>
    <row r="6849" spans="1:2">
      <c r="A6849" s="55"/>
      <c r="B6849"/>
    </row>
    <row r="6850" spans="1:2">
      <c r="A6850" s="55"/>
      <c r="B6850"/>
    </row>
    <row r="6851" spans="1:2">
      <c r="A6851" s="55"/>
      <c r="B6851"/>
    </row>
    <row r="6852" spans="1:2">
      <c r="A6852" s="55"/>
      <c r="B6852"/>
    </row>
    <row r="6853" spans="1:2">
      <c r="A6853" s="55"/>
      <c r="B6853"/>
    </row>
    <row r="6854" spans="1:2">
      <c r="A6854" s="55"/>
      <c r="B6854"/>
    </row>
    <row r="6855" spans="1:2">
      <c r="A6855" s="55"/>
      <c r="B6855"/>
    </row>
    <row r="6856" spans="1:2">
      <c r="A6856" s="55"/>
      <c r="B6856"/>
    </row>
    <row r="6857" spans="1:2">
      <c r="A6857" s="55"/>
      <c r="B6857"/>
    </row>
    <row r="6858" spans="1:2">
      <c r="A6858" s="55"/>
      <c r="B6858"/>
    </row>
    <row r="6859" spans="1:2">
      <c r="A6859" s="55"/>
      <c r="B6859"/>
    </row>
    <row r="6860" spans="1:2">
      <c r="A6860" s="55"/>
      <c r="B6860"/>
    </row>
    <row r="6861" spans="1:2">
      <c r="A6861" s="55"/>
      <c r="B6861"/>
    </row>
    <row r="6862" spans="1:2">
      <c r="A6862" s="55"/>
      <c r="B6862"/>
    </row>
    <row r="6863" spans="1:2">
      <c r="A6863" s="55"/>
      <c r="B6863"/>
    </row>
    <row r="6864" spans="1:2">
      <c r="A6864" s="55"/>
      <c r="B6864"/>
    </row>
    <row r="6865" spans="1:2">
      <c r="A6865" s="55"/>
      <c r="B6865"/>
    </row>
    <row r="6866" spans="1:2">
      <c r="A6866" s="55"/>
      <c r="B6866"/>
    </row>
    <row r="6867" spans="1:2">
      <c r="A6867" s="55"/>
      <c r="B6867"/>
    </row>
    <row r="6868" spans="1:2">
      <c r="A6868" s="55"/>
      <c r="B6868"/>
    </row>
    <row r="6869" spans="1:2">
      <c r="A6869" s="55"/>
      <c r="B6869"/>
    </row>
    <row r="6870" spans="1:2">
      <c r="A6870" s="55"/>
      <c r="B6870"/>
    </row>
    <row r="6871" spans="1:2">
      <c r="A6871" s="55"/>
      <c r="B6871"/>
    </row>
    <row r="6872" spans="1:2">
      <c r="A6872" s="55"/>
      <c r="B6872"/>
    </row>
    <row r="6873" spans="1:2">
      <c r="A6873" s="55"/>
      <c r="B6873"/>
    </row>
    <row r="6874" spans="1:2">
      <c r="A6874" s="55"/>
      <c r="B6874"/>
    </row>
    <row r="6875" spans="1:2">
      <c r="A6875" s="55"/>
      <c r="B6875"/>
    </row>
    <row r="6876" spans="1:2">
      <c r="A6876" s="55"/>
      <c r="B6876"/>
    </row>
    <row r="6877" spans="1:2">
      <c r="A6877" s="55"/>
      <c r="B6877"/>
    </row>
    <row r="6878" spans="1:2">
      <c r="A6878" s="55"/>
      <c r="B6878"/>
    </row>
    <row r="6879" spans="1:2">
      <c r="A6879" s="55"/>
      <c r="B6879"/>
    </row>
    <row r="6880" spans="1:2">
      <c r="A6880" s="55"/>
      <c r="B6880"/>
    </row>
    <row r="6881" spans="1:2">
      <c r="A6881" s="55"/>
      <c r="B6881"/>
    </row>
    <row r="6882" spans="1:2">
      <c r="A6882" s="55"/>
      <c r="B6882"/>
    </row>
    <row r="6883" spans="1:2">
      <c r="A6883" s="55"/>
      <c r="B6883"/>
    </row>
    <row r="6884" spans="1:2">
      <c r="A6884" s="55"/>
      <c r="B6884"/>
    </row>
    <row r="6885" spans="1:2">
      <c r="A6885" s="55"/>
      <c r="B6885"/>
    </row>
    <row r="6886" spans="1:2">
      <c r="A6886" s="55"/>
      <c r="B6886"/>
    </row>
    <row r="6887" spans="1:2">
      <c r="A6887" s="55"/>
      <c r="B6887"/>
    </row>
    <row r="6888" spans="1:2">
      <c r="A6888" s="55"/>
      <c r="B6888"/>
    </row>
    <row r="6889" spans="1:2">
      <c r="A6889" s="55"/>
      <c r="B6889"/>
    </row>
    <row r="6890" spans="1:2">
      <c r="A6890" s="55"/>
      <c r="B6890"/>
    </row>
    <row r="6891" spans="1:2">
      <c r="A6891" s="55"/>
      <c r="B6891"/>
    </row>
    <row r="6892" spans="1:2">
      <c r="A6892" s="55"/>
      <c r="B6892"/>
    </row>
    <row r="6893" spans="1:2">
      <c r="A6893" s="55"/>
      <c r="B6893"/>
    </row>
    <row r="6894" spans="1:2">
      <c r="A6894" s="55"/>
      <c r="B6894"/>
    </row>
    <row r="6895" spans="1:2">
      <c r="A6895" s="55"/>
      <c r="B6895"/>
    </row>
    <row r="6896" spans="1:2">
      <c r="A6896" s="55"/>
      <c r="B6896"/>
    </row>
    <row r="6897" spans="1:2">
      <c r="A6897" s="55"/>
      <c r="B6897"/>
    </row>
    <row r="6898" spans="1:2">
      <c r="A6898" s="55"/>
      <c r="B6898"/>
    </row>
    <row r="6899" spans="1:2">
      <c r="A6899" s="55"/>
      <c r="B6899"/>
    </row>
    <row r="6900" spans="1:2">
      <c r="A6900" s="55"/>
      <c r="B6900"/>
    </row>
    <row r="6901" spans="1:2">
      <c r="A6901" s="55"/>
      <c r="B6901"/>
    </row>
    <row r="6902" spans="1:2">
      <c r="A6902" s="55"/>
      <c r="B6902"/>
    </row>
    <row r="6903" spans="1:2">
      <c r="A6903" s="55"/>
      <c r="B6903"/>
    </row>
    <row r="6904" spans="1:2">
      <c r="A6904" s="55"/>
      <c r="B6904"/>
    </row>
    <row r="6905" spans="1:2">
      <c r="A6905" s="55"/>
      <c r="B6905"/>
    </row>
    <row r="6906" spans="1:2">
      <c r="A6906" s="55"/>
      <c r="B6906"/>
    </row>
    <row r="6907" spans="1:2">
      <c r="A6907" s="55"/>
      <c r="B6907"/>
    </row>
    <row r="6908" spans="1:2">
      <c r="A6908" s="55"/>
      <c r="B6908"/>
    </row>
    <row r="6909" spans="1:2">
      <c r="A6909" s="55"/>
      <c r="B6909"/>
    </row>
    <row r="6910" spans="1:2">
      <c r="A6910" s="55"/>
      <c r="B6910"/>
    </row>
    <row r="6911" spans="1:2">
      <c r="A6911" s="55"/>
      <c r="B6911"/>
    </row>
    <row r="6912" spans="1:2">
      <c r="A6912" s="55"/>
      <c r="B6912"/>
    </row>
    <row r="6913" spans="1:2">
      <c r="A6913" s="55"/>
      <c r="B6913"/>
    </row>
    <row r="6914" spans="1:2">
      <c r="A6914" s="55"/>
      <c r="B6914"/>
    </row>
    <row r="6915" spans="1:2">
      <c r="A6915" s="55"/>
      <c r="B6915"/>
    </row>
    <row r="6916" spans="1:2">
      <c r="A6916" s="55"/>
      <c r="B6916"/>
    </row>
    <row r="6917" spans="1:2">
      <c r="A6917" s="55"/>
      <c r="B6917"/>
    </row>
    <row r="6918" spans="1:2">
      <c r="A6918" s="55"/>
      <c r="B6918"/>
    </row>
    <row r="6919" spans="1:2">
      <c r="A6919" s="55"/>
      <c r="B6919"/>
    </row>
    <row r="6920" spans="1:2">
      <c r="A6920" s="55"/>
      <c r="B6920"/>
    </row>
    <row r="6921" spans="1:2">
      <c r="A6921" s="55"/>
      <c r="B6921"/>
    </row>
    <row r="6922" spans="1:2">
      <c r="A6922" s="55"/>
      <c r="B6922"/>
    </row>
    <row r="6923" spans="1:2">
      <c r="A6923" s="55"/>
      <c r="B6923"/>
    </row>
    <row r="6924" spans="1:2">
      <c r="A6924" s="55"/>
      <c r="B6924"/>
    </row>
    <row r="6925" spans="1:2">
      <c r="A6925" s="55"/>
      <c r="B6925"/>
    </row>
    <row r="6926" spans="1:2">
      <c r="A6926" s="55"/>
      <c r="B6926"/>
    </row>
    <row r="6927" spans="1:2">
      <c r="A6927" s="55"/>
      <c r="B6927"/>
    </row>
    <row r="6928" spans="1:2">
      <c r="A6928" s="55"/>
      <c r="B6928"/>
    </row>
    <row r="6929" spans="1:2">
      <c r="A6929" s="55"/>
      <c r="B6929"/>
    </row>
    <row r="6930" spans="1:2">
      <c r="A6930" s="55"/>
      <c r="B6930"/>
    </row>
    <row r="6931" spans="1:2">
      <c r="A6931" s="55"/>
      <c r="B6931"/>
    </row>
    <row r="6932" spans="1:2">
      <c r="A6932" s="55"/>
      <c r="B6932"/>
    </row>
    <row r="6933" spans="1:2">
      <c r="A6933" s="55"/>
      <c r="B6933"/>
    </row>
    <row r="6934" spans="1:2">
      <c r="A6934" s="55"/>
      <c r="B6934"/>
    </row>
    <row r="6935" spans="1:2">
      <c r="A6935" s="55"/>
      <c r="B6935"/>
    </row>
    <row r="6936" spans="1:2">
      <c r="A6936" s="55"/>
      <c r="B6936"/>
    </row>
    <row r="6937" spans="1:2">
      <c r="A6937" s="55"/>
      <c r="B6937"/>
    </row>
    <row r="6938" spans="1:2">
      <c r="A6938" s="55"/>
      <c r="B6938"/>
    </row>
    <row r="6939" spans="1:2">
      <c r="A6939" s="55"/>
      <c r="B6939"/>
    </row>
    <row r="6940" spans="1:2">
      <c r="A6940" s="55"/>
      <c r="B6940"/>
    </row>
    <row r="6941" spans="1:2">
      <c r="A6941" s="55"/>
      <c r="B6941"/>
    </row>
    <row r="6942" spans="1:2">
      <c r="A6942" s="55"/>
      <c r="B6942"/>
    </row>
    <row r="6943" spans="1:2">
      <c r="A6943" s="55"/>
      <c r="B6943"/>
    </row>
    <row r="6944" spans="1:2">
      <c r="A6944" s="55"/>
      <c r="B6944"/>
    </row>
    <row r="6945" spans="1:2">
      <c r="A6945" s="55"/>
      <c r="B6945"/>
    </row>
    <row r="6946" spans="1:2">
      <c r="A6946" s="55"/>
      <c r="B6946"/>
    </row>
    <row r="6947" spans="1:2">
      <c r="A6947" s="55"/>
      <c r="B6947"/>
    </row>
    <row r="6948" spans="1:2">
      <c r="A6948" s="55"/>
      <c r="B6948"/>
    </row>
    <row r="6949" spans="1:2">
      <c r="A6949" s="55"/>
      <c r="B6949"/>
    </row>
    <row r="6950" spans="1:2">
      <c r="A6950" s="55"/>
      <c r="B6950"/>
    </row>
    <row r="6951" spans="1:2">
      <c r="A6951" s="55"/>
      <c r="B6951"/>
    </row>
    <row r="6952" spans="1:2">
      <c r="A6952" s="55"/>
      <c r="B6952"/>
    </row>
    <row r="6953" spans="1:2">
      <c r="A6953" s="55"/>
      <c r="B6953"/>
    </row>
    <row r="6954" spans="1:2">
      <c r="A6954" s="55"/>
      <c r="B6954"/>
    </row>
    <row r="6955" spans="1:2">
      <c r="A6955" s="55"/>
      <c r="B6955"/>
    </row>
    <row r="6956" spans="1:2">
      <c r="A6956" s="55"/>
      <c r="B6956"/>
    </row>
    <row r="6957" spans="1:2">
      <c r="A6957" s="55"/>
      <c r="B6957"/>
    </row>
    <row r="6958" spans="1:2">
      <c r="A6958" s="55"/>
      <c r="B6958"/>
    </row>
    <row r="6959" spans="1:2">
      <c r="A6959" s="55"/>
      <c r="B6959"/>
    </row>
    <row r="6960" spans="1:2">
      <c r="A6960" s="55"/>
      <c r="B6960"/>
    </row>
    <row r="6961" spans="1:2">
      <c r="A6961" s="55"/>
      <c r="B6961"/>
    </row>
    <row r="6962" spans="1:2">
      <c r="A6962" s="55"/>
      <c r="B6962"/>
    </row>
    <row r="6963" spans="1:2">
      <c r="A6963" s="55"/>
      <c r="B6963"/>
    </row>
    <row r="6964" spans="1:2">
      <c r="A6964" s="55"/>
      <c r="B6964"/>
    </row>
    <row r="6965" spans="1:2">
      <c r="A6965" s="55"/>
      <c r="B6965"/>
    </row>
    <row r="6966" spans="1:2">
      <c r="A6966" s="55"/>
      <c r="B6966"/>
    </row>
    <row r="6967" spans="1:2">
      <c r="A6967" s="55"/>
      <c r="B6967"/>
    </row>
    <row r="6968" spans="1:2">
      <c r="A6968" s="55"/>
      <c r="B6968"/>
    </row>
    <row r="6969" spans="1:2">
      <c r="A6969" s="55"/>
      <c r="B6969"/>
    </row>
    <row r="6970" spans="1:2">
      <c r="A6970" s="55"/>
      <c r="B6970"/>
    </row>
    <row r="6971" spans="1:2">
      <c r="A6971" s="55"/>
      <c r="B6971"/>
    </row>
    <row r="6972" spans="1:2">
      <c r="A6972" s="55"/>
      <c r="B6972"/>
    </row>
    <row r="6973" spans="1:2">
      <c r="A6973" s="55"/>
      <c r="B6973"/>
    </row>
    <row r="6974" spans="1:2">
      <c r="A6974" s="55"/>
      <c r="B6974"/>
    </row>
    <row r="6975" spans="1:2">
      <c r="A6975" s="55"/>
      <c r="B6975"/>
    </row>
    <row r="6976" spans="1:2">
      <c r="A6976" s="55"/>
      <c r="B6976"/>
    </row>
    <row r="6977" spans="1:2">
      <c r="A6977" s="55"/>
      <c r="B6977"/>
    </row>
    <row r="6978" spans="1:2">
      <c r="A6978" s="55"/>
      <c r="B6978"/>
    </row>
    <row r="6979" spans="1:2">
      <c r="A6979" s="55"/>
      <c r="B6979"/>
    </row>
    <row r="6980" spans="1:2">
      <c r="A6980" s="55"/>
      <c r="B6980"/>
    </row>
    <row r="6981" spans="1:2">
      <c r="A6981" s="55"/>
      <c r="B6981"/>
    </row>
    <row r="6982" spans="1:2">
      <c r="A6982" s="55"/>
      <c r="B6982"/>
    </row>
    <row r="6983" spans="1:2">
      <c r="A6983" s="55"/>
      <c r="B6983"/>
    </row>
    <row r="6984" spans="1:2">
      <c r="A6984" s="55"/>
      <c r="B6984"/>
    </row>
    <row r="6985" spans="1:2">
      <c r="A6985" s="55"/>
      <c r="B6985"/>
    </row>
    <row r="6986" spans="1:2">
      <c r="A6986" s="55"/>
      <c r="B6986"/>
    </row>
    <row r="6987" spans="1:2">
      <c r="A6987" s="55"/>
      <c r="B6987"/>
    </row>
    <row r="6988" spans="1:2">
      <c r="A6988" s="55"/>
      <c r="B6988"/>
    </row>
    <row r="6989" spans="1:2">
      <c r="A6989" s="55"/>
      <c r="B6989"/>
    </row>
    <row r="6990" spans="1:2">
      <c r="A6990" s="55"/>
      <c r="B6990"/>
    </row>
    <row r="6991" spans="1:2">
      <c r="A6991" s="55"/>
      <c r="B6991"/>
    </row>
    <row r="6992" spans="1:2">
      <c r="A6992" s="55"/>
      <c r="B6992"/>
    </row>
    <row r="6993" spans="1:2">
      <c r="A6993" s="55"/>
      <c r="B6993"/>
    </row>
    <row r="6994" spans="1:2">
      <c r="A6994" s="55"/>
      <c r="B6994"/>
    </row>
    <row r="6995" spans="1:2">
      <c r="A6995" s="55"/>
      <c r="B6995"/>
    </row>
    <row r="6996" spans="1:2">
      <c r="A6996" s="55"/>
      <c r="B6996"/>
    </row>
    <row r="6997" spans="1:2">
      <c r="A6997" s="55"/>
      <c r="B6997"/>
    </row>
    <row r="6998" spans="1:2">
      <c r="A6998" s="55"/>
      <c r="B6998"/>
    </row>
    <row r="6999" spans="1:2">
      <c r="A6999" s="55"/>
      <c r="B6999"/>
    </row>
    <row r="7000" spans="1:2">
      <c r="A7000" s="55"/>
      <c r="B7000"/>
    </row>
    <row r="7001" spans="1:2">
      <c r="A7001" s="55"/>
      <c r="B7001"/>
    </row>
    <row r="7002" spans="1:2">
      <c r="A7002" s="55"/>
      <c r="B7002"/>
    </row>
    <row r="7003" spans="1:2">
      <c r="A7003" s="55"/>
      <c r="B7003"/>
    </row>
    <row r="7004" spans="1:2">
      <c r="A7004" s="55"/>
      <c r="B7004"/>
    </row>
    <row r="7005" spans="1:2">
      <c r="A7005" s="55"/>
      <c r="B7005"/>
    </row>
    <row r="7006" spans="1:2">
      <c r="A7006" s="55"/>
      <c r="B7006"/>
    </row>
    <row r="7007" spans="1:2">
      <c r="A7007" s="55"/>
      <c r="B7007"/>
    </row>
    <row r="7008" spans="1:2">
      <c r="A7008" s="55"/>
      <c r="B7008"/>
    </row>
    <row r="7009" spans="1:2">
      <c r="A7009" s="55"/>
      <c r="B7009"/>
    </row>
    <row r="7010" spans="1:2">
      <c r="A7010" s="55"/>
      <c r="B7010"/>
    </row>
    <row r="7011" spans="1:2">
      <c r="A7011" s="55"/>
      <c r="B7011"/>
    </row>
    <row r="7012" spans="1:2">
      <c r="A7012" s="55"/>
      <c r="B7012"/>
    </row>
    <row r="7013" spans="1:2">
      <c r="A7013" s="55"/>
      <c r="B7013"/>
    </row>
    <row r="7014" spans="1:2">
      <c r="A7014" s="55"/>
      <c r="B7014"/>
    </row>
    <row r="7015" spans="1:2">
      <c r="A7015" s="55"/>
      <c r="B7015"/>
    </row>
    <row r="7016" spans="1:2">
      <c r="A7016" s="55"/>
      <c r="B7016"/>
    </row>
    <row r="7017" spans="1:2">
      <c r="A7017" s="55"/>
      <c r="B7017"/>
    </row>
    <row r="7018" spans="1:2">
      <c r="A7018" s="55"/>
      <c r="B7018"/>
    </row>
    <row r="7019" spans="1:2">
      <c r="A7019" s="55"/>
      <c r="B7019"/>
    </row>
    <row r="7020" spans="1:2">
      <c r="A7020" s="55"/>
      <c r="B7020"/>
    </row>
    <row r="7021" spans="1:2">
      <c r="A7021" s="55"/>
      <c r="B7021"/>
    </row>
    <row r="7022" spans="1:2">
      <c r="A7022" s="55"/>
      <c r="B7022"/>
    </row>
    <row r="7023" spans="1:2">
      <c r="A7023" s="55"/>
      <c r="B7023"/>
    </row>
    <row r="7024" spans="1:2">
      <c r="A7024" s="55"/>
      <c r="B7024"/>
    </row>
    <row r="7025" spans="1:2">
      <c r="A7025" s="55"/>
      <c r="B7025"/>
    </row>
    <row r="7026" spans="1:2">
      <c r="A7026" s="55"/>
      <c r="B7026"/>
    </row>
    <row r="7027" spans="1:2">
      <c r="A7027" s="55"/>
      <c r="B7027"/>
    </row>
    <row r="7028" spans="1:2">
      <c r="A7028" s="55"/>
      <c r="B7028"/>
    </row>
    <row r="7029" spans="1:2">
      <c r="A7029" s="55"/>
      <c r="B7029"/>
    </row>
    <row r="7030" spans="1:2">
      <c r="A7030" s="55"/>
      <c r="B7030"/>
    </row>
    <row r="7031" spans="1:2">
      <c r="A7031" s="55"/>
      <c r="B7031"/>
    </row>
    <row r="7032" spans="1:2">
      <c r="A7032" s="55"/>
      <c r="B7032"/>
    </row>
    <row r="7033" spans="1:2">
      <c r="A7033" s="55"/>
      <c r="B7033"/>
    </row>
    <row r="7034" spans="1:2">
      <c r="A7034" s="55"/>
      <c r="B7034"/>
    </row>
    <row r="7035" spans="1:2">
      <c r="A7035" s="55"/>
      <c r="B7035"/>
    </row>
    <row r="7036" spans="1:2">
      <c r="A7036" s="55"/>
      <c r="B7036"/>
    </row>
    <row r="7037" spans="1:2">
      <c r="A7037" s="55"/>
      <c r="B7037"/>
    </row>
    <row r="7038" spans="1:2">
      <c r="A7038" s="55"/>
      <c r="B7038"/>
    </row>
    <row r="7039" spans="1:2">
      <c r="A7039" s="55"/>
      <c r="B7039"/>
    </row>
    <row r="7040" spans="1:2">
      <c r="A7040" s="55"/>
      <c r="B7040"/>
    </row>
    <row r="7041" spans="1:2">
      <c r="A7041" s="55"/>
      <c r="B7041"/>
    </row>
    <row r="7042" spans="1:2">
      <c r="A7042" s="55"/>
      <c r="B7042"/>
    </row>
    <row r="7043" spans="1:2">
      <c r="A7043" s="55"/>
      <c r="B7043"/>
    </row>
    <row r="7044" spans="1:2">
      <c r="A7044" s="55"/>
      <c r="B7044"/>
    </row>
    <row r="7045" spans="1:2">
      <c r="A7045" s="55"/>
      <c r="B7045"/>
    </row>
    <row r="7046" spans="1:2">
      <c r="A7046" s="55"/>
      <c r="B7046"/>
    </row>
    <row r="7047" spans="1:2">
      <c r="A7047" s="55"/>
      <c r="B7047"/>
    </row>
    <row r="7048" spans="1:2">
      <c r="A7048" s="55"/>
      <c r="B7048"/>
    </row>
    <row r="7049" spans="1:2">
      <c r="A7049" s="55"/>
      <c r="B7049"/>
    </row>
    <row r="7050" spans="1:2">
      <c r="A7050" s="55"/>
      <c r="B7050"/>
    </row>
    <row r="7051" spans="1:2">
      <c r="A7051" s="55"/>
      <c r="B7051"/>
    </row>
    <row r="7052" spans="1:2">
      <c r="A7052" s="55"/>
      <c r="B7052"/>
    </row>
    <row r="7053" spans="1:2">
      <c r="A7053" s="55"/>
      <c r="B7053"/>
    </row>
    <row r="7054" spans="1:2">
      <c r="A7054" s="55"/>
      <c r="B7054"/>
    </row>
    <row r="7055" spans="1:2">
      <c r="A7055" s="55"/>
      <c r="B7055"/>
    </row>
    <row r="7056" spans="1:2">
      <c r="A7056" s="55"/>
      <c r="B7056"/>
    </row>
    <row r="7057" spans="1:2">
      <c r="A7057" s="55"/>
      <c r="B7057"/>
    </row>
    <row r="7058" spans="1:2">
      <c r="A7058" s="55"/>
      <c r="B7058"/>
    </row>
    <row r="7059" spans="1:2">
      <c r="A7059" s="55"/>
      <c r="B7059"/>
    </row>
    <row r="7060" spans="1:2">
      <c r="A7060" s="55"/>
      <c r="B7060"/>
    </row>
    <row r="7061" spans="1:2">
      <c r="A7061" s="55"/>
      <c r="B7061"/>
    </row>
    <row r="7062" spans="1:2">
      <c r="A7062" s="55"/>
      <c r="B7062"/>
    </row>
    <row r="7063" spans="1:2">
      <c r="A7063" s="55"/>
      <c r="B7063"/>
    </row>
    <row r="7064" spans="1:2">
      <c r="A7064" s="55"/>
      <c r="B7064"/>
    </row>
    <row r="7065" spans="1:2">
      <c r="A7065" s="55"/>
      <c r="B7065"/>
    </row>
    <row r="7066" spans="1:2">
      <c r="A7066" s="55"/>
      <c r="B7066"/>
    </row>
    <row r="7067" spans="1:2">
      <c r="A7067" s="55"/>
      <c r="B7067"/>
    </row>
    <row r="7068" spans="1:2">
      <c r="A7068" s="55"/>
      <c r="B7068"/>
    </row>
    <row r="7069" spans="1:2">
      <c r="A7069" s="55"/>
      <c r="B7069"/>
    </row>
    <row r="7070" spans="1:2">
      <c r="A7070" s="55"/>
      <c r="B7070"/>
    </row>
    <row r="7071" spans="1:2">
      <c r="A7071" s="55"/>
      <c r="B7071"/>
    </row>
    <row r="7072" spans="1:2">
      <c r="A7072" s="55"/>
      <c r="B7072"/>
    </row>
    <row r="7073" spans="1:2">
      <c r="A7073" s="55"/>
      <c r="B7073"/>
    </row>
    <row r="7074" spans="1:2">
      <c r="A7074" s="55"/>
      <c r="B7074"/>
    </row>
    <row r="7075" spans="1:2">
      <c r="A7075" s="55"/>
      <c r="B7075"/>
    </row>
    <row r="7076" spans="1:2">
      <c r="A7076" s="55"/>
      <c r="B7076"/>
    </row>
    <row r="7077" spans="1:2">
      <c r="A7077" s="55"/>
      <c r="B7077"/>
    </row>
    <row r="7078" spans="1:2">
      <c r="A7078" s="55"/>
      <c r="B7078"/>
    </row>
    <row r="7079" spans="1:2">
      <c r="A7079" s="55"/>
      <c r="B7079"/>
    </row>
    <row r="7080" spans="1:2">
      <c r="A7080" s="55"/>
      <c r="B7080"/>
    </row>
    <row r="7081" spans="1:2">
      <c r="A7081" s="55"/>
      <c r="B7081"/>
    </row>
    <row r="7082" spans="1:2">
      <c r="A7082" s="55"/>
      <c r="B7082"/>
    </row>
    <row r="7083" spans="1:2">
      <c r="A7083" s="55"/>
      <c r="B7083"/>
    </row>
    <row r="7084" spans="1:2">
      <c r="A7084" s="55"/>
      <c r="B7084"/>
    </row>
    <row r="7085" spans="1:2">
      <c r="A7085" s="55"/>
      <c r="B7085"/>
    </row>
    <row r="7086" spans="1:2">
      <c r="A7086" s="55"/>
      <c r="B7086"/>
    </row>
    <row r="7087" spans="1:2">
      <c r="A7087" s="55"/>
      <c r="B7087"/>
    </row>
    <row r="7088" spans="1:2">
      <c r="A7088" s="55"/>
      <c r="B7088"/>
    </row>
    <row r="7089" spans="1:2">
      <c r="A7089" s="55"/>
      <c r="B7089"/>
    </row>
    <row r="7090" spans="1:2">
      <c r="A7090" s="55"/>
      <c r="B7090"/>
    </row>
    <row r="7091" spans="1:2">
      <c r="A7091" s="55"/>
      <c r="B7091"/>
    </row>
    <row r="7092" spans="1:2">
      <c r="A7092" s="55"/>
      <c r="B7092"/>
    </row>
    <row r="7093" spans="1:2">
      <c r="A7093" s="55"/>
      <c r="B7093"/>
    </row>
    <row r="7094" spans="1:2">
      <c r="A7094" s="55"/>
      <c r="B7094"/>
    </row>
    <row r="7095" spans="1:2">
      <c r="A7095" s="55"/>
      <c r="B7095"/>
    </row>
    <row r="7096" spans="1:2">
      <c r="A7096" s="55"/>
      <c r="B7096"/>
    </row>
    <row r="7097" spans="1:2">
      <c r="A7097" s="55"/>
      <c r="B7097"/>
    </row>
    <row r="7098" spans="1:2">
      <c r="A7098" s="55"/>
      <c r="B7098"/>
    </row>
    <row r="7099" spans="1:2">
      <c r="A7099" s="55"/>
      <c r="B7099"/>
    </row>
    <row r="7100" spans="1:2">
      <c r="A7100" s="55"/>
      <c r="B7100"/>
    </row>
    <row r="7101" spans="1:2">
      <c r="A7101" s="55"/>
      <c r="B7101"/>
    </row>
    <row r="7102" spans="1:2">
      <c r="A7102" s="55"/>
      <c r="B7102"/>
    </row>
    <row r="7103" spans="1:2">
      <c r="A7103" s="55"/>
      <c r="B7103"/>
    </row>
    <row r="7104" spans="1:2">
      <c r="A7104" s="55"/>
      <c r="B7104"/>
    </row>
    <row r="7105" spans="1:2">
      <c r="A7105" s="55"/>
      <c r="B7105"/>
    </row>
    <row r="7106" spans="1:2">
      <c r="A7106" s="55"/>
      <c r="B7106"/>
    </row>
    <row r="7107" spans="1:2">
      <c r="A7107" s="55"/>
      <c r="B7107"/>
    </row>
    <row r="7108" spans="1:2">
      <c r="A7108" s="55"/>
      <c r="B7108"/>
    </row>
    <row r="7109" spans="1:2">
      <c r="A7109" s="55"/>
      <c r="B7109"/>
    </row>
    <row r="7110" spans="1:2">
      <c r="A7110" s="55"/>
      <c r="B7110"/>
    </row>
    <row r="7111" spans="1:2">
      <c r="A7111" s="55"/>
      <c r="B7111"/>
    </row>
    <row r="7112" spans="1:2">
      <c r="A7112" s="55"/>
      <c r="B7112"/>
    </row>
    <row r="7113" spans="1:2">
      <c r="A7113" s="55"/>
      <c r="B7113"/>
    </row>
    <row r="7114" spans="1:2">
      <c r="A7114" s="55"/>
      <c r="B7114"/>
    </row>
    <row r="7115" spans="1:2">
      <c r="A7115" s="55"/>
      <c r="B7115"/>
    </row>
    <row r="7116" spans="1:2">
      <c r="A7116" s="55"/>
      <c r="B7116"/>
    </row>
    <row r="7117" spans="1:2">
      <c r="A7117" s="55"/>
      <c r="B7117"/>
    </row>
    <row r="7118" spans="1:2">
      <c r="A7118" s="55"/>
      <c r="B7118"/>
    </row>
    <row r="7119" spans="1:2">
      <c r="A7119" s="55"/>
      <c r="B7119"/>
    </row>
    <row r="7120" spans="1:2">
      <c r="A7120" s="55"/>
      <c r="B7120"/>
    </row>
    <row r="7121" spans="1:2">
      <c r="A7121" s="55"/>
      <c r="B7121"/>
    </row>
    <row r="7122" spans="1:2">
      <c r="A7122" s="55"/>
      <c r="B7122"/>
    </row>
    <row r="7123" spans="1:2">
      <c r="A7123" s="55"/>
      <c r="B7123"/>
    </row>
    <row r="7124" spans="1:2">
      <c r="A7124" s="55"/>
      <c r="B7124"/>
    </row>
    <row r="7125" spans="1:2">
      <c r="A7125" s="55"/>
      <c r="B7125"/>
    </row>
    <row r="7126" spans="1:2">
      <c r="A7126" s="55"/>
      <c r="B7126"/>
    </row>
    <row r="7127" spans="1:2">
      <c r="A7127" s="55"/>
      <c r="B7127"/>
    </row>
    <row r="7128" spans="1:2">
      <c r="A7128" s="55"/>
      <c r="B7128"/>
    </row>
    <row r="7129" spans="1:2">
      <c r="A7129" s="55"/>
      <c r="B7129"/>
    </row>
    <row r="7130" spans="1:2">
      <c r="A7130" s="55"/>
      <c r="B7130"/>
    </row>
    <row r="7131" spans="1:2">
      <c r="A7131" s="55"/>
      <c r="B7131"/>
    </row>
    <row r="7132" spans="1:2">
      <c r="A7132" s="55"/>
      <c r="B7132"/>
    </row>
    <row r="7133" spans="1:2">
      <c r="A7133" s="55"/>
      <c r="B7133"/>
    </row>
    <row r="7134" spans="1:2">
      <c r="A7134" s="55"/>
      <c r="B7134"/>
    </row>
    <row r="7135" spans="1:2">
      <c r="A7135" s="55"/>
      <c r="B7135"/>
    </row>
    <row r="7136" spans="1:2">
      <c r="A7136" s="55"/>
      <c r="B7136"/>
    </row>
    <row r="7137" spans="1:2">
      <c r="A7137" s="55"/>
      <c r="B7137"/>
    </row>
    <row r="7138" spans="1:2">
      <c r="A7138" s="55"/>
      <c r="B7138"/>
    </row>
    <row r="7139" spans="1:2">
      <c r="A7139" s="55"/>
      <c r="B7139"/>
    </row>
    <row r="7140" spans="1:2">
      <c r="A7140" s="55"/>
      <c r="B7140"/>
    </row>
    <row r="7141" spans="1:2">
      <c r="A7141" s="55"/>
      <c r="B7141"/>
    </row>
    <row r="7142" spans="1:2">
      <c r="A7142" s="55"/>
      <c r="B7142"/>
    </row>
    <row r="7143" spans="1:2">
      <c r="A7143" s="55"/>
      <c r="B7143"/>
    </row>
    <row r="7144" spans="1:2">
      <c r="A7144" s="55"/>
      <c r="B7144"/>
    </row>
    <row r="7145" spans="1:2">
      <c r="A7145" s="55"/>
      <c r="B7145"/>
    </row>
    <row r="7146" spans="1:2">
      <c r="A7146" s="55"/>
      <c r="B7146"/>
    </row>
    <row r="7147" spans="1:2">
      <c r="A7147" s="55"/>
      <c r="B7147"/>
    </row>
    <row r="7148" spans="1:2">
      <c r="A7148" s="55"/>
      <c r="B7148"/>
    </row>
    <row r="7149" spans="1:2">
      <c r="A7149" s="55"/>
      <c r="B7149"/>
    </row>
    <row r="7150" spans="1:2">
      <c r="A7150" s="55"/>
      <c r="B7150"/>
    </row>
    <row r="7151" spans="1:2">
      <c r="A7151" s="55"/>
      <c r="B7151"/>
    </row>
    <row r="7152" spans="1:2">
      <c r="A7152" s="55"/>
      <c r="B7152"/>
    </row>
    <row r="7153" spans="1:2">
      <c r="A7153" s="55"/>
      <c r="B7153"/>
    </row>
    <row r="7154" spans="1:2">
      <c r="A7154" s="55"/>
      <c r="B7154"/>
    </row>
    <row r="7155" spans="1:2">
      <c r="A7155" s="55"/>
      <c r="B7155"/>
    </row>
    <row r="7156" spans="1:2">
      <c r="A7156" s="55"/>
      <c r="B7156"/>
    </row>
    <row r="7157" spans="1:2">
      <c r="A7157" s="55"/>
      <c r="B7157"/>
    </row>
    <row r="7158" spans="1:2">
      <c r="A7158" s="55"/>
      <c r="B7158"/>
    </row>
    <row r="7159" spans="1:2">
      <c r="A7159" s="55"/>
      <c r="B7159"/>
    </row>
    <row r="7160" spans="1:2">
      <c r="A7160" s="55"/>
      <c r="B7160"/>
    </row>
    <row r="7161" spans="1:2">
      <c r="A7161" s="55"/>
      <c r="B7161"/>
    </row>
    <row r="7162" spans="1:2">
      <c r="A7162" s="55"/>
      <c r="B7162"/>
    </row>
    <row r="7163" spans="1:2">
      <c r="A7163" s="55"/>
      <c r="B7163"/>
    </row>
    <row r="7164" spans="1:2">
      <c r="A7164" s="55"/>
      <c r="B7164"/>
    </row>
    <row r="7165" spans="1:2">
      <c r="A7165" s="55"/>
      <c r="B7165"/>
    </row>
    <row r="7166" spans="1:2">
      <c r="A7166" s="55"/>
      <c r="B7166"/>
    </row>
    <row r="7167" spans="1:2">
      <c r="A7167" s="55"/>
      <c r="B7167"/>
    </row>
    <row r="7168" spans="1:2">
      <c r="A7168" s="55"/>
      <c r="B7168"/>
    </row>
    <row r="7169" spans="1:2">
      <c r="A7169" s="55"/>
      <c r="B7169"/>
    </row>
    <row r="7170" spans="1:2">
      <c r="A7170" s="55"/>
      <c r="B7170"/>
    </row>
    <row r="7171" spans="1:2">
      <c r="A7171" s="55"/>
      <c r="B7171"/>
    </row>
    <row r="7172" spans="1:2">
      <c r="A7172" s="55"/>
      <c r="B7172"/>
    </row>
    <row r="7173" spans="1:2">
      <c r="A7173" s="55"/>
      <c r="B7173"/>
    </row>
    <row r="7174" spans="1:2">
      <c r="A7174" s="55"/>
      <c r="B7174"/>
    </row>
    <row r="7175" spans="1:2">
      <c r="A7175" s="55"/>
      <c r="B7175"/>
    </row>
    <row r="7176" spans="1:2">
      <c r="A7176" s="55"/>
      <c r="B7176"/>
    </row>
    <row r="7177" spans="1:2">
      <c r="A7177" s="55"/>
      <c r="B7177"/>
    </row>
    <row r="7178" spans="1:2">
      <c r="A7178" s="55"/>
      <c r="B7178"/>
    </row>
    <row r="7179" spans="1:2">
      <c r="A7179" s="55"/>
      <c r="B7179"/>
    </row>
    <row r="7180" spans="1:2">
      <c r="A7180" s="55"/>
      <c r="B7180"/>
    </row>
    <row r="7181" spans="1:2">
      <c r="A7181" s="55"/>
      <c r="B7181"/>
    </row>
    <row r="7182" spans="1:2">
      <c r="A7182" s="55"/>
      <c r="B7182"/>
    </row>
    <row r="7183" spans="1:2">
      <c r="A7183" s="55"/>
      <c r="B7183"/>
    </row>
    <row r="7184" spans="1:2">
      <c r="A7184" s="55"/>
      <c r="B7184"/>
    </row>
    <row r="7185" spans="1:2">
      <c r="A7185" s="55"/>
      <c r="B7185"/>
    </row>
    <row r="7186" spans="1:2">
      <c r="A7186" s="55"/>
      <c r="B7186"/>
    </row>
    <row r="7187" spans="1:2">
      <c r="A7187" s="55"/>
      <c r="B7187"/>
    </row>
    <row r="7188" spans="1:2">
      <c r="A7188" s="55"/>
      <c r="B7188"/>
    </row>
    <row r="7189" spans="1:2">
      <c r="A7189" s="55"/>
      <c r="B7189"/>
    </row>
    <row r="7190" spans="1:2">
      <c r="A7190" s="55"/>
      <c r="B7190"/>
    </row>
    <row r="7191" spans="1:2">
      <c r="A7191" s="55"/>
      <c r="B7191"/>
    </row>
    <row r="7192" spans="1:2">
      <c r="A7192" s="55"/>
      <c r="B7192"/>
    </row>
    <row r="7193" spans="1:2">
      <c r="A7193" s="55"/>
      <c r="B7193"/>
    </row>
    <row r="7194" spans="1:2">
      <c r="A7194" s="55"/>
      <c r="B7194"/>
    </row>
    <row r="7195" spans="1:2">
      <c r="A7195" s="55"/>
      <c r="B7195"/>
    </row>
    <row r="7196" spans="1:2">
      <c r="A7196" s="55"/>
      <c r="B7196"/>
    </row>
    <row r="7197" spans="1:2">
      <c r="A7197" s="55"/>
      <c r="B7197"/>
    </row>
    <row r="7198" spans="1:2">
      <c r="A7198" s="55"/>
      <c r="B7198"/>
    </row>
    <row r="7199" spans="1:2">
      <c r="A7199" s="55"/>
      <c r="B7199"/>
    </row>
    <row r="7200" spans="1:2">
      <c r="A7200" s="55"/>
      <c r="B7200"/>
    </row>
    <row r="7201" spans="1:2">
      <c r="A7201" s="55"/>
      <c r="B7201"/>
    </row>
    <row r="7202" spans="1:2">
      <c r="A7202" s="55"/>
      <c r="B7202"/>
    </row>
    <row r="7203" spans="1:2">
      <c r="A7203" s="55"/>
      <c r="B7203"/>
    </row>
    <row r="7204" spans="1:2">
      <c r="A7204" s="55"/>
      <c r="B7204"/>
    </row>
    <row r="7205" spans="1:2">
      <c r="A7205" s="55"/>
      <c r="B7205"/>
    </row>
    <row r="7206" spans="1:2">
      <c r="A7206" s="55"/>
      <c r="B7206"/>
    </row>
    <row r="7207" spans="1:2">
      <c r="A7207" s="55"/>
      <c r="B7207"/>
    </row>
    <row r="7208" spans="1:2">
      <c r="A7208" s="55"/>
      <c r="B7208"/>
    </row>
    <row r="7209" spans="1:2">
      <c r="A7209" s="55"/>
      <c r="B7209"/>
    </row>
    <row r="7210" spans="1:2">
      <c r="A7210" s="55"/>
      <c r="B7210"/>
    </row>
    <row r="7211" spans="1:2">
      <c r="A7211" s="55"/>
      <c r="B7211"/>
    </row>
    <row r="7212" spans="1:2">
      <c r="A7212" s="55"/>
      <c r="B7212"/>
    </row>
    <row r="7213" spans="1:2">
      <c r="A7213" s="55"/>
      <c r="B7213"/>
    </row>
    <row r="7214" spans="1:2">
      <c r="A7214" s="55"/>
      <c r="B7214"/>
    </row>
    <row r="7215" spans="1:2">
      <c r="A7215" s="55"/>
      <c r="B7215"/>
    </row>
    <row r="7216" spans="1:2">
      <c r="A7216" s="55"/>
      <c r="B7216"/>
    </row>
    <row r="7217" spans="1:2">
      <c r="A7217" s="55"/>
      <c r="B7217"/>
    </row>
    <row r="7218" spans="1:2">
      <c r="A7218" s="55"/>
      <c r="B7218"/>
    </row>
    <row r="7219" spans="1:2">
      <c r="A7219" s="55"/>
      <c r="B7219"/>
    </row>
    <row r="7220" spans="1:2">
      <c r="A7220" s="55"/>
      <c r="B7220"/>
    </row>
    <row r="7221" spans="1:2">
      <c r="A7221" s="55"/>
      <c r="B7221"/>
    </row>
    <row r="7222" spans="1:2">
      <c r="A7222" s="55"/>
      <c r="B7222"/>
    </row>
    <row r="7223" spans="1:2">
      <c r="A7223" s="55"/>
      <c r="B7223"/>
    </row>
    <row r="7224" spans="1:2">
      <c r="A7224" s="55"/>
      <c r="B7224"/>
    </row>
    <row r="7225" spans="1:2">
      <c r="A7225" s="55"/>
      <c r="B7225"/>
    </row>
    <row r="7226" spans="1:2">
      <c r="A7226" s="55"/>
      <c r="B7226"/>
    </row>
    <row r="7227" spans="1:2">
      <c r="A7227" s="55"/>
      <c r="B7227"/>
    </row>
    <row r="7228" spans="1:2">
      <c r="A7228" s="55"/>
      <c r="B7228"/>
    </row>
    <row r="7229" spans="1:2">
      <c r="A7229" s="55"/>
      <c r="B7229"/>
    </row>
    <row r="7230" spans="1:2">
      <c r="A7230" s="55"/>
      <c r="B7230"/>
    </row>
    <row r="7231" spans="1:2">
      <c r="A7231" s="55"/>
      <c r="B7231"/>
    </row>
    <row r="7232" spans="1:2">
      <c r="A7232" s="55"/>
      <c r="B7232"/>
    </row>
    <row r="7233" spans="1:2">
      <c r="A7233" s="55"/>
      <c r="B7233"/>
    </row>
    <row r="7234" spans="1:2">
      <c r="A7234" s="55"/>
      <c r="B7234"/>
    </row>
    <row r="7235" spans="1:2">
      <c r="A7235" s="55"/>
      <c r="B7235"/>
    </row>
    <row r="7236" spans="1:2">
      <c r="A7236" s="55"/>
      <c r="B7236"/>
    </row>
    <row r="7237" spans="1:2">
      <c r="A7237" s="55"/>
      <c r="B7237"/>
    </row>
    <row r="7238" spans="1:2">
      <c r="A7238" s="55"/>
      <c r="B7238"/>
    </row>
    <row r="7239" spans="1:2">
      <c r="A7239" s="55"/>
      <c r="B7239"/>
    </row>
    <row r="7240" spans="1:2">
      <c r="A7240" s="55"/>
      <c r="B7240"/>
    </row>
    <row r="7241" spans="1:2">
      <c r="A7241" s="55"/>
      <c r="B7241"/>
    </row>
    <row r="7242" spans="1:2">
      <c r="A7242" s="55"/>
      <c r="B7242"/>
    </row>
    <row r="7243" spans="1:2">
      <c r="A7243" s="55"/>
      <c r="B7243"/>
    </row>
    <row r="7244" spans="1:2">
      <c r="A7244" s="55"/>
      <c r="B7244"/>
    </row>
    <row r="7245" spans="1:2">
      <c r="A7245" s="55"/>
      <c r="B7245"/>
    </row>
    <row r="7246" spans="1:2">
      <c r="A7246" s="55"/>
      <c r="B7246"/>
    </row>
    <row r="7247" spans="1:2">
      <c r="A7247" s="55"/>
      <c r="B7247"/>
    </row>
    <row r="7248" spans="1:2">
      <c r="A7248" s="55"/>
      <c r="B7248"/>
    </row>
    <row r="7249" spans="1:2">
      <c r="A7249" s="55"/>
      <c r="B7249"/>
    </row>
    <row r="7250" spans="1:2">
      <c r="A7250" s="55"/>
      <c r="B7250"/>
    </row>
    <row r="7251" spans="1:2">
      <c r="A7251" s="55"/>
      <c r="B7251"/>
    </row>
    <row r="7252" spans="1:2">
      <c r="A7252" s="55"/>
      <c r="B7252"/>
    </row>
    <row r="7253" spans="1:2">
      <c r="A7253" s="55"/>
      <c r="B7253"/>
    </row>
    <row r="7254" spans="1:2">
      <c r="A7254" s="55"/>
      <c r="B7254"/>
    </row>
    <row r="7255" spans="1:2">
      <c r="A7255" s="55"/>
      <c r="B7255"/>
    </row>
    <row r="7256" spans="1:2">
      <c r="A7256" s="55"/>
      <c r="B7256"/>
    </row>
    <row r="7257" spans="1:2">
      <c r="A7257" s="55"/>
      <c r="B7257"/>
    </row>
    <row r="7258" spans="1:2">
      <c r="A7258" s="55"/>
      <c r="B7258"/>
    </row>
    <row r="7259" spans="1:2">
      <c r="A7259" s="55"/>
      <c r="B7259"/>
    </row>
    <row r="7260" spans="1:2">
      <c r="A7260" s="55"/>
      <c r="B7260"/>
    </row>
    <row r="7261" spans="1:2">
      <c r="A7261" s="55"/>
      <c r="B7261"/>
    </row>
    <row r="7262" spans="1:2">
      <c r="A7262" s="55"/>
      <c r="B7262"/>
    </row>
    <row r="7263" spans="1:2">
      <c r="A7263" s="55"/>
      <c r="B7263"/>
    </row>
    <row r="7264" spans="1:2">
      <c r="A7264" s="55"/>
      <c r="B7264"/>
    </row>
    <row r="7265" spans="1:2">
      <c r="A7265" s="55"/>
      <c r="B7265"/>
    </row>
    <row r="7266" spans="1:2">
      <c r="A7266" s="55"/>
      <c r="B7266"/>
    </row>
    <row r="7267" spans="1:2">
      <c r="A7267" s="55"/>
      <c r="B7267"/>
    </row>
    <row r="7268" spans="1:2">
      <c r="A7268" s="55"/>
      <c r="B7268"/>
    </row>
    <row r="7269" spans="1:2">
      <c r="A7269" s="55"/>
      <c r="B7269"/>
    </row>
    <row r="7270" spans="1:2">
      <c r="A7270" s="55"/>
      <c r="B7270"/>
    </row>
    <row r="7271" spans="1:2">
      <c r="A7271" s="55"/>
      <c r="B7271"/>
    </row>
    <row r="7272" spans="1:2">
      <c r="A7272" s="55"/>
      <c r="B7272"/>
    </row>
    <row r="7273" spans="1:2">
      <c r="A7273" s="55"/>
      <c r="B7273"/>
    </row>
    <row r="7274" spans="1:2">
      <c r="A7274" s="55"/>
      <c r="B7274"/>
    </row>
    <row r="7275" spans="1:2">
      <c r="A7275" s="55"/>
      <c r="B7275"/>
    </row>
    <row r="7276" spans="1:2">
      <c r="A7276" s="55"/>
      <c r="B7276"/>
    </row>
    <row r="7277" spans="1:2">
      <c r="A7277" s="55"/>
      <c r="B7277"/>
    </row>
    <row r="7278" spans="1:2">
      <c r="A7278" s="55"/>
      <c r="B7278"/>
    </row>
    <row r="7279" spans="1:2">
      <c r="A7279" s="55"/>
      <c r="B7279"/>
    </row>
    <row r="7280" spans="1:2">
      <c r="A7280" s="55"/>
      <c r="B7280"/>
    </row>
    <row r="7281" spans="1:2">
      <c r="A7281" s="55"/>
      <c r="B7281"/>
    </row>
    <row r="7282" spans="1:2">
      <c r="A7282" s="55"/>
      <c r="B7282"/>
    </row>
    <row r="7283" spans="1:2">
      <c r="A7283" s="55"/>
      <c r="B7283"/>
    </row>
    <row r="7284" spans="1:2">
      <c r="A7284" s="55"/>
      <c r="B7284"/>
    </row>
    <row r="7285" spans="1:2">
      <c r="A7285" s="55"/>
      <c r="B7285"/>
    </row>
    <row r="7286" spans="1:2">
      <c r="A7286" s="55"/>
      <c r="B7286"/>
    </row>
    <row r="7287" spans="1:2">
      <c r="A7287" s="55"/>
      <c r="B7287"/>
    </row>
    <row r="7288" spans="1:2">
      <c r="A7288" s="55"/>
      <c r="B7288"/>
    </row>
    <row r="7289" spans="1:2">
      <c r="A7289" s="55"/>
      <c r="B7289"/>
    </row>
    <row r="7290" spans="1:2">
      <c r="A7290" s="55"/>
      <c r="B7290"/>
    </row>
    <row r="7291" spans="1:2">
      <c r="A7291" s="55"/>
      <c r="B7291"/>
    </row>
    <row r="7292" spans="1:2">
      <c r="A7292" s="55"/>
      <c r="B7292"/>
    </row>
    <row r="7293" spans="1:2">
      <c r="A7293" s="55"/>
      <c r="B7293"/>
    </row>
    <row r="7294" spans="1:2">
      <c r="A7294" s="55"/>
      <c r="B7294"/>
    </row>
    <row r="7295" spans="1:2">
      <c r="A7295" s="55"/>
      <c r="B7295"/>
    </row>
    <row r="7296" spans="1:2">
      <c r="A7296" s="55"/>
      <c r="B7296"/>
    </row>
    <row r="7297" spans="1:2">
      <c r="A7297" s="55"/>
      <c r="B7297"/>
    </row>
    <row r="7298" spans="1:2">
      <c r="A7298" s="55"/>
      <c r="B7298"/>
    </row>
    <row r="7299" spans="1:2">
      <c r="A7299" s="55"/>
      <c r="B7299"/>
    </row>
    <row r="7300" spans="1:2">
      <c r="A7300" s="55"/>
      <c r="B7300"/>
    </row>
    <row r="7301" spans="1:2">
      <c r="A7301" s="55"/>
      <c r="B7301"/>
    </row>
    <row r="7302" spans="1:2">
      <c r="A7302" s="55"/>
      <c r="B7302"/>
    </row>
    <row r="7303" spans="1:2">
      <c r="A7303" s="55"/>
      <c r="B7303"/>
    </row>
    <row r="7304" spans="1:2">
      <c r="A7304" s="55"/>
      <c r="B7304"/>
    </row>
    <row r="7305" spans="1:2">
      <c r="A7305" s="55"/>
      <c r="B7305"/>
    </row>
    <row r="7306" spans="1:2">
      <c r="A7306" s="55"/>
      <c r="B7306"/>
    </row>
    <row r="7307" spans="1:2">
      <c r="A7307" s="55"/>
      <c r="B7307"/>
    </row>
    <row r="7308" spans="1:2">
      <c r="A7308" s="55"/>
      <c r="B7308"/>
    </row>
    <row r="7309" spans="1:2">
      <c r="A7309" s="55"/>
      <c r="B7309"/>
    </row>
    <row r="7310" spans="1:2">
      <c r="A7310" s="55"/>
      <c r="B7310"/>
    </row>
    <row r="7311" spans="1:2">
      <c r="A7311" s="55"/>
      <c r="B7311"/>
    </row>
    <row r="7312" spans="1:2">
      <c r="A7312" s="55"/>
      <c r="B7312"/>
    </row>
    <row r="7313" spans="1:2">
      <c r="A7313" s="55"/>
      <c r="B7313"/>
    </row>
    <row r="7314" spans="1:2">
      <c r="A7314" s="55"/>
      <c r="B7314"/>
    </row>
    <row r="7315" spans="1:2">
      <c r="A7315" s="55"/>
      <c r="B7315"/>
    </row>
    <row r="7316" spans="1:2">
      <c r="A7316" s="55"/>
      <c r="B7316"/>
    </row>
    <row r="7317" spans="1:2">
      <c r="A7317" s="55"/>
      <c r="B7317"/>
    </row>
    <row r="7318" spans="1:2">
      <c r="A7318" s="55"/>
      <c r="B7318"/>
    </row>
    <row r="7319" spans="1:2">
      <c r="A7319" s="55"/>
      <c r="B7319"/>
    </row>
    <row r="7320" spans="1:2">
      <c r="A7320" s="55"/>
      <c r="B7320"/>
    </row>
    <row r="7321" spans="1:2">
      <c r="A7321" s="55"/>
      <c r="B7321"/>
    </row>
    <row r="7322" spans="1:2">
      <c r="A7322" s="55"/>
      <c r="B7322"/>
    </row>
    <row r="7323" spans="1:2">
      <c r="A7323" s="55"/>
      <c r="B7323"/>
    </row>
    <row r="7324" spans="1:2">
      <c r="A7324" s="55"/>
      <c r="B7324"/>
    </row>
    <row r="7325" spans="1:2">
      <c r="A7325" s="55"/>
      <c r="B7325"/>
    </row>
    <row r="7326" spans="1:2">
      <c r="A7326" s="55"/>
      <c r="B7326"/>
    </row>
    <row r="7327" spans="1:2">
      <c r="A7327" s="55"/>
      <c r="B7327"/>
    </row>
    <row r="7328" spans="1:2">
      <c r="A7328" s="55"/>
      <c r="B7328"/>
    </row>
    <row r="7329" spans="1:2">
      <c r="A7329" s="55"/>
      <c r="B7329"/>
    </row>
    <row r="7330" spans="1:2">
      <c r="A7330" s="55"/>
      <c r="B7330"/>
    </row>
    <row r="7331" spans="1:2">
      <c r="A7331" s="55"/>
      <c r="B7331"/>
    </row>
    <row r="7332" spans="1:2">
      <c r="A7332" s="55"/>
      <c r="B7332"/>
    </row>
    <row r="7333" spans="1:2">
      <c r="A7333" s="55"/>
      <c r="B7333"/>
    </row>
    <row r="7334" spans="1:2">
      <c r="A7334" s="55"/>
      <c r="B7334"/>
    </row>
    <row r="7335" spans="1:2">
      <c r="A7335" s="55"/>
      <c r="B7335"/>
    </row>
    <row r="7336" spans="1:2">
      <c r="A7336" s="55"/>
      <c r="B7336"/>
    </row>
    <row r="7337" spans="1:2">
      <c r="A7337" s="55"/>
      <c r="B7337"/>
    </row>
    <row r="7338" spans="1:2">
      <c r="A7338" s="55"/>
      <c r="B7338"/>
    </row>
    <row r="7339" spans="1:2">
      <c r="A7339" s="55"/>
      <c r="B7339"/>
    </row>
    <row r="7340" spans="1:2">
      <c r="A7340" s="55"/>
      <c r="B7340"/>
    </row>
    <row r="7341" spans="1:2">
      <c r="A7341" s="55"/>
      <c r="B7341"/>
    </row>
    <row r="7342" spans="1:2">
      <c r="A7342" s="55"/>
      <c r="B7342"/>
    </row>
    <row r="7343" spans="1:2">
      <c r="A7343" s="55"/>
      <c r="B7343"/>
    </row>
    <row r="7344" spans="1:2">
      <c r="A7344" s="55"/>
      <c r="B7344"/>
    </row>
    <row r="7345" spans="1:2">
      <c r="A7345" s="55"/>
      <c r="B7345"/>
    </row>
    <row r="7346" spans="1:2">
      <c r="A7346" s="55"/>
      <c r="B7346"/>
    </row>
    <row r="7347" spans="1:2">
      <c r="A7347" s="55"/>
      <c r="B7347"/>
    </row>
    <row r="7348" spans="1:2">
      <c r="A7348" s="55"/>
      <c r="B7348"/>
    </row>
    <row r="7349" spans="1:2">
      <c r="A7349" s="55"/>
      <c r="B7349"/>
    </row>
    <row r="7350" spans="1:2">
      <c r="A7350" s="55"/>
      <c r="B7350"/>
    </row>
    <row r="7351" spans="1:2">
      <c r="A7351" s="55"/>
      <c r="B7351"/>
    </row>
    <row r="7352" spans="1:2">
      <c r="A7352" s="55"/>
      <c r="B7352"/>
    </row>
    <row r="7353" spans="1:2">
      <c r="A7353" s="55"/>
      <c r="B7353"/>
    </row>
    <row r="7354" spans="1:2">
      <c r="A7354" s="55"/>
      <c r="B7354"/>
    </row>
    <row r="7355" spans="1:2">
      <c r="A7355" s="55"/>
      <c r="B7355"/>
    </row>
    <row r="7356" spans="1:2">
      <c r="A7356" s="55"/>
      <c r="B7356"/>
    </row>
    <row r="7357" spans="1:2">
      <c r="A7357" s="55"/>
      <c r="B7357"/>
    </row>
    <row r="7358" spans="1:2">
      <c r="A7358" s="55"/>
      <c r="B7358"/>
    </row>
    <row r="7359" spans="1:2">
      <c r="A7359" s="55"/>
      <c r="B7359"/>
    </row>
    <row r="7360" spans="1:2">
      <c r="A7360" s="55"/>
      <c r="B7360"/>
    </row>
    <row r="7361" spans="1:2">
      <c r="A7361" s="55"/>
      <c r="B7361"/>
    </row>
    <row r="7362" spans="1:2">
      <c r="A7362" s="55"/>
      <c r="B7362"/>
    </row>
    <row r="7363" spans="1:2">
      <c r="A7363" s="55"/>
      <c r="B7363"/>
    </row>
    <row r="7364" spans="1:2">
      <c r="A7364" s="55"/>
      <c r="B7364"/>
    </row>
    <row r="7365" spans="1:2">
      <c r="A7365" s="55"/>
      <c r="B7365"/>
    </row>
    <row r="7366" spans="1:2">
      <c r="A7366" s="55"/>
      <c r="B7366"/>
    </row>
    <row r="7367" spans="1:2">
      <c r="A7367" s="55"/>
      <c r="B7367"/>
    </row>
    <row r="7368" spans="1:2">
      <c r="A7368" s="55"/>
      <c r="B7368"/>
    </row>
    <row r="7369" spans="1:2">
      <c r="A7369" s="55"/>
      <c r="B7369"/>
    </row>
    <row r="7370" spans="1:2">
      <c r="A7370" s="55"/>
      <c r="B7370"/>
    </row>
    <row r="7371" spans="1:2">
      <c r="A7371" s="55"/>
      <c r="B7371"/>
    </row>
    <row r="7372" spans="1:2">
      <c r="A7372" s="55"/>
      <c r="B7372"/>
    </row>
    <row r="7373" spans="1:2">
      <c r="A7373" s="55"/>
      <c r="B7373"/>
    </row>
    <row r="7374" spans="1:2">
      <c r="A7374" s="55"/>
      <c r="B7374"/>
    </row>
    <row r="7375" spans="1:2">
      <c r="A7375" s="55"/>
      <c r="B7375"/>
    </row>
    <row r="7376" spans="1:2">
      <c r="A7376" s="55"/>
      <c r="B7376"/>
    </row>
    <row r="7377" spans="1:2">
      <c r="A7377" s="55"/>
      <c r="B7377"/>
    </row>
    <row r="7378" spans="1:2">
      <c r="A7378" s="55"/>
      <c r="B7378"/>
    </row>
    <row r="7379" spans="1:2">
      <c r="A7379" s="55"/>
      <c r="B7379"/>
    </row>
    <row r="7380" spans="1:2">
      <c r="A7380" s="55"/>
      <c r="B7380"/>
    </row>
    <row r="7381" spans="1:2">
      <c r="A7381" s="55"/>
      <c r="B7381"/>
    </row>
    <row r="7382" spans="1:2">
      <c r="A7382" s="55"/>
      <c r="B7382"/>
    </row>
    <row r="7383" spans="1:2">
      <c r="A7383" s="55"/>
      <c r="B7383"/>
    </row>
    <row r="7384" spans="1:2">
      <c r="A7384" s="55"/>
      <c r="B7384"/>
    </row>
    <row r="7385" spans="1:2">
      <c r="A7385" s="55"/>
      <c r="B7385"/>
    </row>
    <row r="7386" spans="1:2">
      <c r="A7386" s="55"/>
      <c r="B7386"/>
    </row>
    <row r="7387" spans="1:2">
      <c r="A7387" s="55"/>
      <c r="B7387"/>
    </row>
    <row r="7388" spans="1:2">
      <c r="A7388" s="55"/>
      <c r="B7388"/>
    </row>
    <row r="7389" spans="1:2">
      <c r="A7389" s="55"/>
      <c r="B7389"/>
    </row>
    <row r="7390" spans="1:2">
      <c r="A7390" s="55"/>
      <c r="B7390"/>
    </row>
    <row r="7391" spans="1:2">
      <c r="A7391" s="55"/>
      <c r="B7391"/>
    </row>
    <row r="7392" spans="1:2">
      <c r="A7392" s="55"/>
      <c r="B7392"/>
    </row>
    <row r="7393" spans="1:2">
      <c r="A7393" s="55"/>
      <c r="B7393"/>
    </row>
    <row r="7394" spans="1:2">
      <c r="A7394" s="55"/>
      <c r="B7394"/>
    </row>
    <row r="7395" spans="1:2">
      <c r="A7395" s="55"/>
      <c r="B7395"/>
    </row>
    <row r="7396" spans="1:2">
      <c r="A7396" s="55"/>
      <c r="B7396"/>
    </row>
    <row r="7397" spans="1:2">
      <c r="A7397" s="55"/>
      <c r="B7397"/>
    </row>
    <row r="7398" spans="1:2">
      <c r="A7398" s="55"/>
      <c r="B7398"/>
    </row>
    <row r="7399" spans="1:2">
      <c r="A7399" s="55"/>
      <c r="B7399"/>
    </row>
    <row r="7400" spans="1:2">
      <c r="A7400" s="55"/>
      <c r="B7400"/>
    </row>
    <row r="7401" spans="1:2">
      <c r="A7401" s="55"/>
      <c r="B7401"/>
    </row>
    <row r="7402" spans="1:2">
      <c r="A7402" s="55"/>
      <c r="B7402"/>
    </row>
    <row r="7403" spans="1:2">
      <c r="A7403" s="55"/>
      <c r="B7403"/>
    </row>
    <row r="7404" spans="1:2">
      <c r="A7404" s="55"/>
      <c r="B7404"/>
    </row>
    <row r="7405" spans="1:2">
      <c r="A7405" s="55"/>
      <c r="B7405"/>
    </row>
    <row r="7406" spans="1:2">
      <c r="A7406" s="55"/>
      <c r="B7406"/>
    </row>
    <row r="7407" spans="1:2">
      <c r="A7407" s="55"/>
      <c r="B7407"/>
    </row>
    <row r="7408" spans="1:2">
      <c r="A7408" s="55"/>
      <c r="B7408"/>
    </row>
    <row r="7409" spans="1:2">
      <c r="A7409" s="55"/>
      <c r="B7409"/>
    </row>
    <row r="7410" spans="1:2">
      <c r="A7410" s="55"/>
      <c r="B7410"/>
    </row>
    <row r="7411" spans="1:2">
      <c r="A7411" s="55"/>
      <c r="B7411"/>
    </row>
    <row r="7412" spans="1:2">
      <c r="A7412" s="55"/>
      <c r="B7412"/>
    </row>
    <row r="7413" spans="1:2">
      <c r="A7413" s="55"/>
      <c r="B7413"/>
    </row>
    <row r="7414" spans="1:2">
      <c r="A7414" s="55"/>
      <c r="B7414"/>
    </row>
    <row r="7415" spans="1:2">
      <c r="A7415" s="55"/>
      <c r="B7415"/>
    </row>
    <row r="7416" spans="1:2">
      <c r="A7416" s="55"/>
      <c r="B7416"/>
    </row>
    <row r="7417" spans="1:2">
      <c r="A7417" s="55"/>
      <c r="B7417"/>
    </row>
    <row r="7418" spans="1:2">
      <c r="A7418" s="55"/>
      <c r="B7418"/>
    </row>
    <row r="7419" spans="1:2">
      <c r="A7419" s="55"/>
      <c r="B7419"/>
    </row>
    <row r="7420" spans="1:2">
      <c r="A7420" s="55"/>
      <c r="B7420"/>
    </row>
    <row r="7421" spans="1:2">
      <c r="A7421" s="55"/>
      <c r="B7421"/>
    </row>
    <row r="7422" spans="1:2">
      <c r="A7422" s="55"/>
      <c r="B7422"/>
    </row>
    <row r="7423" spans="1:2">
      <c r="A7423" s="55"/>
      <c r="B7423"/>
    </row>
    <row r="7424" spans="1:2">
      <c r="A7424" s="55"/>
      <c r="B7424"/>
    </row>
    <row r="7425" spans="1:2">
      <c r="A7425" s="55"/>
      <c r="B7425"/>
    </row>
    <row r="7426" spans="1:2">
      <c r="A7426" s="55"/>
      <c r="B7426"/>
    </row>
    <row r="7427" spans="1:2">
      <c r="A7427" s="55"/>
      <c r="B7427"/>
    </row>
    <row r="7428" spans="1:2">
      <c r="A7428" s="55"/>
      <c r="B7428"/>
    </row>
    <row r="7429" spans="1:2">
      <c r="A7429" s="55"/>
      <c r="B7429"/>
    </row>
    <row r="7430" spans="1:2">
      <c r="A7430" s="55"/>
      <c r="B7430"/>
    </row>
    <row r="7431" spans="1:2">
      <c r="A7431" s="55"/>
      <c r="B7431"/>
    </row>
    <row r="7432" spans="1:2">
      <c r="A7432" s="55"/>
      <c r="B7432"/>
    </row>
    <row r="7433" spans="1:2">
      <c r="A7433" s="55"/>
      <c r="B7433"/>
    </row>
    <row r="7434" spans="1:2">
      <c r="A7434" s="55"/>
      <c r="B7434"/>
    </row>
    <row r="7435" spans="1:2">
      <c r="A7435" s="55"/>
      <c r="B7435"/>
    </row>
    <row r="7436" spans="1:2">
      <c r="A7436" s="55"/>
      <c r="B7436"/>
    </row>
    <row r="7437" spans="1:2">
      <c r="A7437" s="55"/>
      <c r="B7437"/>
    </row>
    <row r="7438" spans="1:2">
      <c r="A7438" s="55"/>
      <c r="B7438"/>
    </row>
    <row r="7439" spans="1:2">
      <c r="A7439" s="55"/>
      <c r="B7439"/>
    </row>
    <row r="7440" spans="1:2">
      <c r="A7440" s="55"/>
      <c r="B7440"/>
    </row>
    <row r="7441" spans="1:2">
      <c r="A7441" s="55"/>
      <c r="B7441"/>
    </row>
    <row r="7442" spans="1:2">
      <c r="A7442" s="55"/>
      <c r="B7442"/>
    </row>
    <row r="7443" spans="1:2">
      <c r="A7443" s="55"/>
      <c r="B7443"/>
    </row>
    <row r="7444" spans="1:2">
      <c r="A7444" s="55"/>
      <c r="B7444"/>
    </row>
    <row r="7445" spans="1:2">
      <c r="A7445" s="55"/>
      <c r="B7445"/>
    </row>
    <row r="7446" spans="1:2">
      <c r="A7446" s="55"/>
      <c r="B7446"/>
    </row>
    <row r="7447" spans="1:2">
      <c r="A7447" s="55"/>
      <c r="B7447"/>
    </row>
    <row r="7448" spans="1:2">
      <c r="A7448" s="55"/>
      <c r="B7448"/>
    </row>
    <row r="7449" spans="1:2">
      <c r="A7449" s="55"/>
      <c r="B7449"/>
    </row>
    <row r="7450" spans="1:2">
      <c r="A7450" s="55"/>
      <c r="B7450"/>
    </row>
    <row r="7451" spans="1:2">
      <c r="A7451" s="55"/>
      <c r="B7451"/>
    </row>
    <row r="7452" spans="1:2">
      <c r="A7452" s="55"/>
      <c r="B7452"/>
    </row>
    <row r="7453" spans="1:2">
      <c r="A7453" s="55"/>
      <c r="B7453"/>
    </row>
    <row r="7454" spans="1:2">
      <c r="A7454" s="55"/>
      <c r="B7454"/>
    </row>
    <row r="7455" spans="1:2">
      <c r="A7455" s="55"/>
      <c r="B7455"/>
    </row>
    <row r="7456" spans="1:2">
      <c r="A7456" s="55"/>
      <c r="B7456"/>
    </row>
    <row r="7457" spans="1:2">
      <c r="A7457" s="55"/>
      <c r="B7457"/>
    </row>
    <row r="7458" spans="1:2">
      <c r="A7458" s="55"/>
      <c r="B7458"/>
    </row>
    <row r="7459" spans="1:2">
      <c r="A7459" s="55"/>
      <c r="B7459"/>
    </row>
    <row r="7460" spans="1:2">
      <c r="A7460" s="55"/>
      <c r="B7460"/>
    </row>
    <row r="7461" spans="1:2">
      <c r="A7461" s="55"/>
      <c r="B7461"/>
    </row>
    <row r="7462" spans="1:2">
      <c r="A7462" s="55"/>
      <c r="B7462"/>
    </row>
    <row r="7463" spans="1:2">
      <c r="A7463" s="55"/>
      <c r="B7463"/>
    </row>
    <row r="7464" spans="1:2">
      <c r="A7464" s="55"/>
      <c r="B7464"/>
    </row>
    <row r="7465" spans="1:2">
      <c r="A7465" s="55"/>
      <c r="B7465"/>
    </row>
    <row r="7466" spans="1:2">
      <c r="A7466" s="55"/>
      <c r="B7466"/>
    </row>
    <row r="7467" spans="1:2">
      <c r="A7467" s="55"/>
      <c r="B7467"/>
    </row>
    <row r="7468" spans="1:2">
      <c r="A7468" s="55"/>
      <c r="B7468"/>
    </row>
    <row r="7469" spans="1:2">
      <c r="A7469" s="55"/>
      <c r="B7469"/>
    </row>
    <row r="7470" spans="1:2">
      <c r="A7470" s="55"/>
      <c r="B7470"/>
    </row>
    <row r="7471" spans="1:2">
      <c r="A7471" s="55"/>
      <c r="B7471"/>
    </row>
    <row r="7472" spans="1:2">
      <c r="A7472" s="55"/>
      <c r="B7472"/>
    </row>
    <row r="7473" spans="1:2">
      <c r="A7473" s="55"/>
      <c r="B7473"/>
    </row>
    <row r="7474" spans="1:2">
      <c r="A7474" s="55"/>
      <c r="B7474"/>
    </row>
    <row r="7475" spans="1:2">
      <c r="A7475" s="55"/>
      <c r="B7475"/>
    </row>
    <row r="7476" spans="1:2">
      <c r="A7476" s="55"/>
      <c r="B7476"/>
    </row>
    <row r="7477" spans="1:2">
      <c r="A7477" s="55"/>
      <c r="B7477"/>
    </row>
    <row r="7478" spans="1:2">
      <c r="A7478" s="55"/>
      <c r="B7478"/>
    </row>
    <row r="7479" spans="1:2">
      <c r="A7479" s="55"/>
      <c r="B7479"/>
    </row>
    <row r="7480" spans="1:2">
      <c r="A7480" s="55"/>
      <c r="B7480"/>
    </row>
    <row r="7481" spans="1:2">
      <c r="A7481" s="55"/>
      <c r="B7481"/>
    </row>
    <row r="7482" spans="1:2">
      <c r="A7482" s="55"/>
      <c r="B7482"/>
    </row>
    <row r="7483" spans="1:2">
      <c r="A7483" s="55"/>
      <c r="B7483"/>
    </row>
    <row r="7484" spans="1:2">
      <c r="A7484" s="55"/>
      <c r="B7484"/>
    </row>
    <row r="7485" spans="1:2">
      <c r="A7485" s="55"/>
      <c r="B7485"/>
    </row>
    <row r="7486" spans="1:2">
      <c r="A7486" s="55"/>
      <c r="B7486"/>
    </row>
    <row r="7487" spans="1:2">
      <c r="A7487" s="55"/>
      <c r="B7487"/>
    </row>
    <row r="7488" spans="1:2">
      <c r="A7488" s="55"/>
      <c r="B7488"/>
    </row>
    <row r="7489" spans="1:2">
      <c r="A7489" s="55"/>
      <c r="B7489"/>
    </row>
    <row r="7490" spans="1:2">
      <c r="A7490" s="55"/>
      <c r="B7490"/>
    </row>
    <row r="7491" spans="1:2">
      <c r="A7491" s="55"/>
      <c r="B7491"/>
    </row>
    <row r="7492" spans="1:2">
      <c r="A7492" s="55"/>
      <c r="B7492"/>
    </row>
    <row r="7493" spans="1:2">
      <c r="A7493" s="55"/>
      <c r="B7493"/>
    </row>
    <row r="7494" spans="1:2">
      <c r="A7494" s="55"/>
      <c r="B7494"/>
    </row>
    <row r="7495" spans="1:2">
      <c r="A7495" s="55"/>
      <c r="B7495"/>
    </row>
    <row r="7496" spans="1:2">
      <c r="A7496" s="55"/>
      <c r="B7496"/>
    </row>
    <row r="7497" spans="1:2">
      <c r="A7497" s="55"/>
      <c r="B7497"/>
    </row>
    <row r="7498" spans="1:2">
      <c r="A7498" s="55"/>
      <c r="B7498"/>
    </row>
    <row r="7499" spans="1:2">
      <c r="A7499" s="55"/>
      <c r="B7499"/>
    </row>
    <row r="7500" spans="1:2">
      <c r="A7500" s="55"/>
      <c r="B7500"/>
    </row>
    <row r="7501" spans="1:2">
      <c r="A7501" s="55"/>
      <c r="B7501"/>
    </row>
    <row r="7502" spans="1:2">
      <c r="A7502" s="55"/>
      <c r="B7502"/>
    </row>
    <row r="7503" spans="1:2">
      <c r="A7503" s="55"/>
      <c r="B7503"/>
    </row>
    <row r="7504" spans="1:2">
      <c r="A7504" s="55"/>
      <c r="B7504"/>
    </row>
    <row r="7505" spans="1:2">
      <c r="A7505" s="55"/>
      <c r="B7505"/>
    </row>
    <row r="7506" spans="1:2">
      <c r="A7506" s="55"/>
      <c r="B7506"/>
    </row>
    <row r="7507" spans="1:2">
      <c r="A7507" s="55"/>
      <c r="B7507"/>
    </row>
    <row r="7508" spans="1:2">
      <c r="A7508" s="55"/>
      <c r="B7508"/>
    </row>
    <row r="7509" spans="1:2">
      <c r="A7509" s="55"/>
      <c r="B7509"/>
    </row>
    <row r="7510" spans="1:2">
      <c r="A7510" s="55"/>
      <c r="B7510"/>
    </row>
    <row r="7511" spans="1:2">
      <c r="A7511" s="55"/>
      <c r="B7511"/>
    </row>
    <row r="7512" spans="1:2">
      <c r="A7512" s="55"/>
      <c r="B7512"/>
    </row>
    <row r="7513" spans="1:2">
      <c r="A7513" s="55"/>
      <c r="B7513"/>
    </row>
    <row r="7514" spans="1:2">
      <c r="A7514" s="55"/>
      <c r="B7514"/>
    </row>
    <row r="7515" spans="1:2">
      <c r="A7515" s="55"/>
      <c r="B7515"/>
    </row>
    <row r="7516" spans="1:2">
      <c r="A7516" s="55"/>
      <c r="B7516"/>
    </row>
    <row r="7517" spans="1:2">
      <c r="A7517" s="55"/>
      <c r="B7517"/>
    </row>
    <row r="7518" spans="1:2">
      <c r="A7518" s="55"/>
      <c r="B7518"/>
    </row>
    <row r="7519" spans="1:2">
      <c r="A7519" s="55"/>
      <c r="B7519"/>
    </row>
    <row r="7520" spans="1:2">
      <c r="A7520" s="55"/>
      <c r="B7520"/>
    </row>
    <row r="7521" spans="1:2">
      <c r="A7521" s="55"/>
      <c r="B7521"/>
    </row>
    <row r="7522" spans="1:2">
      <c r="A7522" s="55"/>
      <c r="B7522"/>
    </row>
    <row r="7523" spans="1:2">
      <c r="A7523" s="55"/>
      <c r="B7523"/>
    </row>
    <row r="7524" spans="1:2">
      <c r="A7524" s="55"/>
      <c r="B7524"/>
    </row>
    <row r="7525" spans="1:2">
      <c r="A7525" s="55"/>
      <c r="B7525"/>
    </row>
    <row r="7526" spans="1:2">
      <c r="A7526" s="55"/>
      <c r="B7526"/>
    </row>
    <row r="7527" spans="1:2">
      <c r="A7527" s="55"/>
      <c r="B7527"/>
    </row>
    <row r="7528" spans="1:2">
      <c r="A7528" s="55"/>
      <c r="B7528"/>
    </row>
    <row r="7529" spans="1:2">
      <c r="A7529" s="55"/>
      <c r="B7529"/>
    </row>
    <row r="7530" spans="1:2">
      <c r="A7530" s="55"/>
      <c r="B7530"/>
    </row>
    <row r="7531" spans="1:2">
      <c r="A7531" s="55"/>
      <c r="B7531"/>
    </row>
    <row r="7532" spans="1:2">
      <c r="A7532" s="55"/>
      <c r="B7532"/>
    </row>
    <row r="7533" spans="1:2">
      <c r="A7533" s="55"/>
      <c r="B7533"/>
    </row>
    <row r="7534" spans="1:2">
      <c r="A7534" s="55"/>
      <c r="B7534"/>
    </row>
    <row r="7535" spans="1:2">
      <c r="A7535" s="55"/>
      <c r="B7535"/>
    </row>
    <row r="7536" spans="1:2">
      <c r="A7536" s="55"/>
      <c r="B7536"/>
    </row>
    <row r="7537" spans="1:2">
      <c r="A7537" s="55"/>
      <c r="B7537"/>
    </row>
    <row r="7538" spans="1:2">
      <c r="A7538" s="55"/>
      <c r="B7538"/>
    </row>
    <row r="7539" spans="1:2">
      <c r="A7539" s="55"/>
      <c r="B7539"/>
    </row>
    <row r="7540" spans="1:2">
      <c r="A7540" s="55"/>
      <c r="B7540"/>
    </row>
    <row r="7541" spans="1:2">
      <c r="A7541" s="55"/>
      <c r="B7541"/>
    </row>
    <row r="7542" spans="1:2">
      <c r="A7542" s="55"/>
      <c r="B7542"/>
    </row>
    <row r="7543" spans="1:2">
      <c r="A7543" s="55"/>
      <c r="B7543"/>
    </row>
    <row r="7544" spans="1:2">
      <c r="A7544" s="55"/>
      <c r="B7544"/>
    </row>
    <row r="7545" spans="1:2">
      <c r="A7545" s="55"/>
      <c r="B7545"/>
    </row>
    <row r="7546" spans="1:2">
      <c r="A7546" s="55"/>
      <c r="B7546"/>
    </row>
    <row r="7547" spans="1:2">
      <c r="A7547" s="55"/>
      <c r="B7547"/>
    </row>
    <row r="7548" spans="1:2">
      <c r="A7548" s="55"/>
      <c r="B7548"/>
    </row>
    <row r="7549" spans="1:2">
      <c r="A7549" s="55"/>
      <c r="B7549"/>
    </row>
    <row r="7550" spans="1:2">
      <c r="A7550" s="55"/>
      <c r="B7550"/>
    </row>
    <row r="7551" spans="1:2">
      <c r="A7551" s="55"/>
      <c r="B7551"/>
    </row>
    <row r="7552" spans="1:2">
      <c r="A7552" s="55"/>
      <c r="B7552"/>
    </row>
    <row r="7553" spans="1:2">
      <c r="A7553" s="55"/>
      <c r="B7553"/>
    </row>
    <row r="7554" spans="1:2">
      <c r="A7554" s="55"/>
      <c r="B7554"/>
    </row>
    <row r="7555" spans="1:2">
      <c r="A7555" s="55"/>
      <c r="B7555"/>
    </row>
    <row r="7556" spans="1:2">
      <c r="A7556" s="55"/>
      <c r="B7556"/>
    </row>
    <row r="7557" spans="1:2">
      <c r="A7557" s="55"/>
      <c r="B7557"/>
    </row>
    <row r="7558" spans="1:2">
      <c r="A7558" s="55"/>
      <c r="B7558"/>
    </row>
    <row r="7559" spans="1:2">
      <c r="A7559" s="55"/>
      <c r="B7559"/>
    </row>
    <row r="7560" spans="1:2">
      <c r="A7560" s="55"/>
      <c r="B7560"/>
    </row>
    <row r="7561" spans="1:2">
      <c r="A7561" s="55"/>
      <c r="B7561"/>
    </row>
    <row r="7562" spans="1:2">
      <c r="A7562" s="55"/>
      <c r="B7562"/>
    </row>
    <row r="7563" spans="1:2">
      <c r="A7563" s="55"/>
      <c r="B7563"/>
    </row>
    <row r="7564" spans="1:2">
      <c r="A7564" s="55"/>
      <c r="B7564"/>
    </row>
    <row r="7565" spans="1:2">
      <c r="A7565" s="55"/>
      <c r="B7565"/>
    </row>
    <row r="7566" spans="1:2">
      <c r="A7566" s="55"/>
      <c r="B7566"/>
    </row>
    <row r="7567" spans="1:2">
      <c r="A7567" s="55"/>
      <c r="B7567"/>
    </row>
    <row r="7568" spans="1:2">
      <c r="A7568" s="55"/>
      <c r="B7568"/>
    </row>
    <row r="7569" spans="1:2">
      <c r="A7569" s="55"/>
      <c r="B7569"/>
    </row>
    <row r="7570" spans="1:2">
      <c r="A7570" s="55"/>
      <c r="B7570"/>
    </row>
    <row r="7571" spans="1:2">
      <c r="A7571" s="55"/>
      <c r="B7571"/>
    </row>
    <row r="7572" spans="1:2">
      <c r="A7572" s="55"/>
      <c r="B7572"/>
    </row>
    <row r="7573" spans="1:2">
      <c r="A7573" s="55"/>
      <c r="B7573"/>
    </row>
    <row r="7574" spans="1:2">
      <c r="A7574" s="55"/>
      <c r="B7574"/>
    </row>
    <row r="7575" spans="1:2">
      <c r="A7575" s="55"/>
      <c r="B7575"/>
    </row>
    <row r="7576" spans="1:2">
      <c r="A7576" s="55"/>
      <c r="B7576"/>
    </row>
    <row r="7577" spans="1:2">
      <c r="A7577" s="55"/>
      <c r="B7577"/>
    </row>
    <row r="7578" spans="1:2">
      <c r="A7578" s="55"/>
      <c r="B7578"/>
    </row>
    <row r="7579" spans="1:2">
      <c r="A7579" s="55"/>
      <c r="B7579"/>
    </row>
    <row r="7580" spans="1:2">
      <c r="A7580" s="55"/>
      <c r="B7580"/>
    </row>
    <row r="7581" spans="1:2">
      <c r="A7581" s="55"/>
      <c r="B7581"/>
    </row>
    <row r="7582" spans="1:2">
      <c r="A7582" s="55"/>
      <c r="B7582"/>
    </row>
    <row r="7583" spans="1:2">
      <c r="A7583" s="55"/>
      <c r="B7583"/>
    </row>
    <row r="7584" spans="1:2">
      <c r="A7584" s="55"/>
      <c r="B7584"/>
    </row>
    <row r="7585" spans="1:2">
      <c r="A7585" s="55"/>
      <c r="B7585"/>
    </row>
    <row r="7586" spans="1:2">
      <c r="A7586" s="55"/>
      <c r="B7586"/>
    </row>
    <row r="7587" spans="1:2">
      <c r="A7587" s="55"/>
      <c r="B7587"/>
    </row>
    <row r="7588" spans="1:2">
      <c r="A7588" s="55"/>
      <c r="B7588"/>
    </row>
    <row r="7589" spans="1:2">
      <c r="A7589" s="55"/>
      <c r="B7589"/>
    </row>
    <row r="7590" spans="1:2">
      <c r="A7590" s="55"/>
      <c r="B7590"/>
    </row>
    <row r="7591" spans="1:2">
      <c r="A7591" s="55"/>
      <c r="B7591"/>
    </row>
    <row r="7592" spans="1:2">
      <c r="A7592" s="55"/>
      <c r="B7592"/>
    </row>
    <row r="7593" spans="1:2">
      <c r="A7593" s="55"/>
      <c r="B7593"/>
    </row>
    <row r="7594" spans="1:2">
      <c r="A7594" s="55"/>
      <c r="B7594"/>
    </row>
    <row r="7595" spans="1:2">
      <c r="A7595" s="55"/>
      <c r="B7595"/>
    </row>
    <row r="7596" spans="1:2">
      <c r="A7596" s="55"/>
      <c r="B7596"/>
    </row>
    <row r="7597" spans="1:2">
      <c r="A7597" s="55"/>
      <c r="B7597"/>
    </row>
    <row r="7598" spans="1:2">
      <c r="A7598" s="55"/>
      <c r="B7598"/>
    </row>
    <row r="7599" spans="1:2">
      <c r="A7599" s="55"/>
      <c r="B7599"/>
    </row>
    <row r="7600" spans="1:2">
      <c r="A7600" s="55"/>
      <c r="B7600"/>
    </row>
    <row r="7601" spans="1:2">
      <c r="A7601" s="55"/>
      <c r="B7601"/>
    </row>
    <row r="7602" spans="1:2">
      <c r="A7602" s="55"/>
      <c r="B7602"/>
    </row>
    <row r="7603" spans="1:2">
      <c r="A7603" s="55"/>
      <c r="B7603"/>
    </row>
    <row r="7604" spans="1:2">
      <c r="A7604" s="55"/>
      <c r="B7604"/>
    </row>
    <row r="7605" spans="1:2">
      <c r="A7605" s="55"/>
      <c r="B7605"/>
    </row>
    <row r="7606" spans="1:2">
      <c r="A7606" s="55"/>
      <c r="B7606"/>
    </row>
    <row r="7607" spans="1:2">
      <c r="A7607" s="55"/>
      <c r="B7607"/>
    </row>
    <row r="7608" spans="1:2">
      <c r="A7608" s="55"/>
      <c r="B7608"/>
    </row>
    <row r="7609" spans="1:2">
      <c r="A7609" s="55"/>
      <c r="B7609"/>
    </row>
    <row r="7610" spans="1:2">
      <c r="A7610" s="55"/>
      <c r="B7610"/>
    </row>
    <row r="7611" spans="1:2">
      <c r="A7611" s="55"/>
      <c r="B7611"/>
    </row>
    <row r="7612" spans="1:2">
      <c r="A7612" s="55"/>
      <c r="B7612"/>
    </row>
    <row r="7613" spans="1:2">
      <c r="A7613" s="55"/>
      <c r="B7613"/>
    </row>
    <row r="7614" spans="1:2">
      <c r="A7614" s="55"/>
      <c r="B7614"/>
    </row>
    <row r="7615" spans="1:2">
      <c r="A7615" s="55"/>
      <c r="B7615"/>
    </row>
    <row r="7616" spans="1:2">
      <c r="A7616" s="55"/>
      <c r="B7616"/>
    </row>
    <row r="7617" spans="1:2">
      <c r="A7617" s="55"/>
      <c r="B7617"/>
    </row>
    <row r="7618" spans="1:2">
      <c r="A7618" s="55"/>
      <c r="B7618"/>
    </row>
    <row r="7619" spans="1:2">
      <c r="A7619" s="55"/>
      <c r="B7619"/>
    </row>
    <row r="7620" spans="1:2">
      <c r="A7620" s="55"/>
      <c r="B7620"/>
    </row>
    <row r="7621" spans="1:2">
      <c r="A7621" s="55"/>
      <c r="B7621"/>
    </row>
    <row r="7622" spans="1:2">
      <c r="A7622" s="55"/>
      <c r="B7622"/>
    </row>
    <row r="7623" spans="1:2">
      <c r="A7623" s="55"/>
      <c r="B7623"/>
    </row>
    <row r="7624" spans="1:2">
      <c r="A7624" s="55"/>
      <c r="B7624"/>
    </row>
    <row r="7625" spans="1:2">
      <c r="A7625" s="55"/>
      <c r="B7625"/>
    </row>
    <row r="7626" spans="1:2">
      <c r="A7626" s="55"/>
      <c r="B7626"/>
    </row>
    <row r="7627" spans="1:2">
      <c r="A7627" s="55"/>
      <c r="B7627"/>
    </row>
    <row r="7628" spans="1:2">
      <c r="A7628" s="55"/>
      <c r="B7628"/>
    </row>
    <row r="7629" spans="1:2">
      <c r="A7629" s="55"/>
      <c r="B7629"/>
    </row>
    <row r="7630" spans="1:2">
      <c r="A7630" s="55"/>
      <c r="B7630"/>
    </row>
    <row r="7631" spans="1:2">
      <c r="A7631" s="55"/>
      <c r="B7631"/>
    </row>
    <row r="7632" spans="1:2">
      <c r="A7632" s="55"/>
      <c r="B7632"/>
    </row>
    <row r="7633" spans="1:2">
      <c r="A7633" s="55"/>
      <c r="B7633"/>
    </row>
    <row r="7634" spans="1:2">
      <c r="A7634" s="55"/>
      <c r="B7634"/>
    </row>
    <row r="7635" spans="1:2">
      <c r="A7635" s="55"/>
      <c r="B7635"/>
    </row>
    <row r="7636" spans="1:2">
      <c r="A7636" s="55"/>
      <c r="B7636"/>
    </row>
    <row r="7637" spans="1:2">
      <c r="A7637" s="55"/>
      <c r="B7637"/>
    </row>
    <row r="7638" spans="1:2">
      <c r="A7638" s="55"/>
      <c r="B7638"/>
    </row>
    <row r="7639" spans="1:2">
      <c r="A7639" s="55"/>
      <c r="B7639"/>
    </row>
    <row r="7640" spans="1:2">
      <c r="A7640" s="55"/>
      <c r="B7640"/>
    </row>
    <row r="7641" spans="1:2">
      <c r="A7641" s="55"/>
      <c r="B7641"/>
    </row>
    <row r="7642" spans="1:2">
      <c r="A7642" s="55"/>
      <c r="B7642"/>
    </row>
    <row r="7643" spans="1:2">
      <c r="A7643" s="55"/>
      <c r="B7643"/>
    </row>
    <row r="7644" spans="1:2">
      <c r="A7644" s="55"/>
      <c r="B7644"/>
    </row>
    <row r="7645" spans="1:2">
      <c r="A7645" s="55"/>
      <c r="B7645"/>
    </row>
    <row r="7646" spans="1:2">
      <c r="A7646" s="55"/>
      <c r="B7646"/>
    </row>
    <row r="7647" spans="1:2">
      <c r="A7647" s="55"/>
      <c r="B7647"/>
    </row>
    <row r="7648" spans="1:2">
      <c r="A7648" s="55"/>
      <c r="B7648"/>
    </row>
    <row r="7649" spans="1:2">
      <c r="A7649" s="55"/>
      <c r="B7649"/>
    </row>
    <row r="7650" spans="1:2">
      <c r="A7650" s="55"/>
      <c r="B7650"/>
    </row>
    <row r="7651" spans="1:2">
      <c r="A7651" s="55"/>
      <c r="B7651"/>
    </row>
    <row r="7652" spans="1:2">
      <c r="A7652" s="55"/>
      <c r="B7652"/>
    </row>
    <row r="7653" spans="1:2">
      <c r="A7653" s="55"/>
      <c r="B7653"/>
    </row>
    <row r="7654" spans="1:2">
      <c r="A7654" s="55"/>
      <c r="B7654"/>
    </row>
    <row r="7655" spans="1:2">
      <c r="A7655" s="55"/>
      <c r="B7655"/>
    </row>
    <row r="7656" spans="1:2">
      <c r="A7656" s="55"/>
      <c r="B7656"/>
    </row>
    <row r="7657" spans="1:2">
      <c r="A7657" s="55"/>
      <c r="B7657"/>
    </row>
    <row r="7658" spans="1:2">
      <c r="A7658" s="55"/>
      <c r="B7658"/>
    </row>
    <row r="7659" spans="1:2">
      <c r="A7659" s="55"/>
      <c r="B7659"/>
    </row>
    <row r="7660" spans="1:2">
      <c r="A7660" s="55"/>
      <c r="B7660"/>
    </row>
    <row r="7661" spans="1:2">
      <c r="A7661" s="55"/>
      <c r="B7661"/>
    </row>
    <row r="7662" spans="1:2">
      <c r="A7662" s="55"/>
      <c r="B7662"/>
    </row>
    <row r="7663" spans="1:2">
      <c r="A7663" s="55"/>
      <c r="B7663"/>
    </row>
    <row r="7664" spans="1:2">
      <c r="A7664" s="55"/>
      <c r="B7664"/>
    </row>
    <row r="7665" spans="1:2">
      <c r="A7665" s="55"/>
      <c r="B7665"/>
    </row>
    <row r="7666" spans="1:2">
      <c r="A7666" s="55"/>
      <c r="B7666"/>
    </row>
    <row r="7667" spans="1:2">
      <c r="A7667" s="55"/>
      <c r="B7667"/>
    </row>
    <row r="7668" spans="1:2">
      <c r="A7668" s="55"/>
      <c r="B7668"/>
    </row>
    <row r="7669" spans="1:2">
      <c r="A7669" s="55"/>
      <c r="B7669"/>
    </row>
    <row r="7670" spans="1:2">
      <c r="A7670" s="55"/>
      <c r="B7670"/>
    </row>
    <row r="7671" spans="1:2">
      <c r="A7671" s="55"/>
      <c r="B7671"/>
    </row>
    <row r="7672" spans="1:2">
      <c r="A7672" s="55"/>
      <c r="B7672"/>
    </row>
    <row r="7673" spans="1:2">
      <c r="A7673" s="55"/>
      <c r="B7673"/>
    </row>
    <row r="7674" spans="1:2">
      <c r="A7674" s="55"/>
      <c r="B7674"/>
    </row>
    <row r="7675" spans="1:2">
      <c r="A7675" s="55"/>
      <c r="B7675"/>
    </row>
    <row r="7676" spans="1:2">
      <c r="A7676" s="55"/>
      <c r="B7676"/>
    </row>
    <row r="7677" spans="1:2">
      <c r="A7677" s="55"/>
      <c r="B7677"/>
    </row>
    <row r="7678" spans="1:2">
      <c r="A7678" s="55"/>
      <c r="B7678"/>
    </row>
    <row r="7679" spans="1:2">
      <c r="A7679" s="55"/>
      <c r="B7679"/>
    </row>
    <row r="7680" spans="1:2">
      <c r="A7680" s="55"/>
      <c r="B7680"/>
    </row>
    <row r="7681" spans="1:2">
      <c r="A7681" s="55"/>
      <c r="B7681"/>
    </row>
    <row r="7682" spans="1:2">
      <c r="A7682" s="55"/>
      <c r="B7682"/>
    </row>
    <row r="7683" spans="1:2">
      <c r="A7683" s="55"/>
      <c r="B7683"/>
    </row>
    <row r="7684" spans="1:2">
      <c r="A7684" s="55"/>
      <c r="B7684"/>
    </row>
    <row r="7685" spans="1:2">
      <c r="A7685" s="55"/>
      <c r="B7685"/>
    </row>
    <row r="7686" spans="1:2">
      <c r="A7686" s="55"/>
      <c r="B7686"/>
    </row>
    <row r="7687" spans="1:2">
      <c r="A7687" s="55"/>
      <c r="B7687"/>
    </row>
    <row r="7688" spans="1:2">
      <c r="A7688" s="55"/>
      <c r="B7688"/>
    </row>
    <row r="7689" spans="1:2">
      <c r="A7689" s="55"/>
      <c r="B7689"/>
    </row>
    <row r="7690" spans="1:2">
      <c r="A7690" s="55"/>
      <c r="B7690"/>
    </row>
    <row r="7691" spans="1:2">
      <c r="A7691" s="55"/>
      <c r="B7691"/>
    </row>
    <row r="7692" spans="1:2">
      <c r="A7692" s="55"/>
      <c r="B7692"/>
    </row>
    <row r="7693" spans="1:2">
      <c r="A7693" s="55"/>
      <c r="B7693"/>
    </row>
    <row r="7694" spans="1:2">
      <c r="A7694" s="55"/>
      <c r="B7694"/>
    </row>
    <row r="7695" spans="1:2">
      <c r="A7695" s="55"/>
      <c r="B7695"/>
    </row>
    <row r="7696" spans="1:2">
      <c r="A7696" s="55"/>
      <c r="B7696"/>
    </row>
    <row r="7697" spans="1:2">
      <c r="A7697" s="55"/>
      <c r="B7697"/>
    </row>
    <row r="7698" spans="1:2">
      <c r="A7698" s="55"/>
      <c r="B7698"/>
    </row>
    <row r="7699" spans="1:2">
      <c r="A7699" s="55"/>
      <c r="B7699"/>
    </row>
    <row r="7700" spans="1:2">
      <c r="A7700" s="55"/>
      <c r="B7700"/>
    </row>
    <row r="7701" spans="1:2">
      <c r="A7701" s="55"/>
      <c r="B7701"/>
    </row>
    <row r="7702" spans="1:2">
      <c r="A7702" s="55"/>
      <c r="B7702"/>
    </row>
    <row r="7703" spans="1:2">
      <c r="A7703" s="55"/>
      <c r="B7703"/>
    </row>
    <row r="7704" spans="1:2">
      <c r="A7704" s="55"/>
      <c r="B7704"/>
    </row>
    <row r="7705" spans="1:2">
      <c r="A7705" s="55"/>
      <c r="B7705"/>
    </row>
    <row r="7706" spans="1:2">
      <c r="A7706" s="55"/>
      <c r="B7706"/>
    </row>
    <row r="7707" spans="1:2">
      <c r="A7707" s="55"/>
      <c r="B7707"/>
    </row>
    <row r="7708" spans="1:2">
      <c r="A7708" s="55"/>
      <c r="B7708"/>
    </row>
    <row r="7709" spans="1:2">
      <c r="A7709" s="55"/>
      <c r="B7709"/>
    </row>
    <row r="7710" spans="1:2">
      <c r="A7710" s="55"/>
      <c r="B7710"/>
    </row>
    <row r="7711" spans="1:2">
      <c r="A7711" s="55"/>
      <c r="B7711"/>
    </row>
    <row r="7712" spans="1:2">
      <c r="A7712" s="55"/>
      <c r="B7712"/>
    </row>
    <row r="7713" spans="1:2">
      <c r="A7713" s="55"/>
      <c r="B7713"/>
    </row>
    <row r="7714" spans="1:2">
      <c r="A7714" s="55"/>
      <c r="B7714"/>
    </row>
    <row r="7715" spans="1:2">
      <c r="A7715" s="55"/>
      <c r="B7715"/>
    </row>
    <row r="7716" spans="1:2">
      <c r="A7716" s="55"/>
      <c r="B7716"/>
    </row>
    <row r="7717" spans="1:2">
      <c r="A7717" s="55"/>
      <c r="B7717"/>
    </row>
    <row r="7718" spans="1:2">
      <c r="A7718" s="55"/>
      <c r="B7718"/>
    </row>
    <row r="7719" spans="1:2">
      <c r="A7719" s="55"/>
      <c r="B7719"/>
    </row>
    <row r="7720" spans="1:2">
      <c r="A7720" s="55"/>
      <c r="B7720"/>
    </row>
    <row r="7721" spans="1:2">
      <c r="A7721" s="55"/>
      <c r="B7721"/>
    </row>
    <row r="7722" spans="1:2">
      <c r="A7722" s="55"/>
      <c r="B7722"/>
    </row>
    <row r="7723" spans="1:2">
      <c r="A7723" s="55"/>
      <c r="B7723"/>
    </row>
    <row r="7724" spans="1:2">
      <c r="A7724" s="55"/>
      <c r="B7724"/>
    </row>
    <row r="7725" spans="1:2">
      <c r="A7725" s="55"/>
      <c r="B7725"/>
    </row>
    <row r="7726" spans="1:2">
      <c r="A7726" s="55"/>
      <c r="B7726"/>
    </row>
    <row r="7727" spans="1:2">
      <c r="A7727" s="55"/>
      <c r="B7727"/>
    </row>
    <row r="7728" spans="1:2">
      <c r="A7728" s="55"/>
      <c r="B7728"/>
    </row>
    <row r="7729" spans="1:2">
      <c r="A7729" s="55"/>
      <c r="B7729"/>
    </row>
    <row r="7730" spans="1:2">
      <c r="A7730" s="55"/>
      <c r="B7730"/>
    </row>
    <row r="7731" spans="1:2">
      <c r="A7731" s="55"/>
      <c r="B7731"/>
    </row>
    <row r="7732" spans="1:2">
      <c r="A7732" s="55"/>
      <c r="B7732"/>
    </row>
    <row r="7733" spans="1:2">
      <c r="A7733" s="55"/>
      <c r="B7733"/>
    </row>
    <row r="7734" spans="1:2">
      <c r="A7734" s="55"/>
      <c r="B7734"/>
    </row>
    <row r="7735" spans="1:2">
      <c r="A7735" s="55"/>
      <c r="B7735"/>
    </row>
    <row r="7736" spans="1:2">
      <c r="A7736" s="55"/>
      <c r="B7736"/>
    </row>
    <row r="7737" spans="1:2">
      <c r="A7737" s="55"/>
      <c r="B7737"/>
    </row>
    <row r="7738" spans="1:2">
      <c r="A7738" s="55"/>
      <c r="B7738"/>
    </row>
    <row r="7739" spans="1:2">
      <c r="A7739" s="55"/>
      <c r="B7739"/>
    </row>
    <row r="7740" spans="1:2">
      <c r="A7740" s="55"/>
      <c r="B7740"/>
    </row>
    <row r="7741" spans="1:2">
      <c r="A7741" s="55"/>
      <c r="B7741"/>
    </row>
    <row r="7742" spans="1:2">
      <c r="A7742" s="55"/>
      <c r="B7742"/>
    </row>
    <row r="7743" spans="1:2">
      <c r="A7743" s="55"/>
      <c r="B7743"/>
    </row>
    <row r="7744" spans="1:2">
      <c r="A7744" s="55"/>
      <c r="B7744"/>
    </row>
    <row r="7745" spans="1:2">
      <c r="A7745" s="55"/>
      <c r="B7745"/>
    </row>
    <row r="7746" spans="1:2">
      <c r="A7746" s="55"/>
      <c r="B7746"/>
    </row>
    <row r="7747" spans="1:2">
      <c r="A7747" s="55"/>
      <c r="B7747"/>
    </row>
    <row r="7748" spans="1:2">
      <c r="A7748" s="55"/>
      <c r="B7748"/>
    </row>
    <row r="7749" spans="1:2">
      <c r="A7749" s="55"/>
      <c r="B7749"/>
    </row>
    <row r="7750" spans="1:2">
      <c r="A7750" s="55"/>
      <c r="B7750"/>
    </row>
    <row r="7751" spans="1:2">
      <c r="A7751" s="55"/>
      <c r="B7751"/>
    </row>
    <row r="7752" spans="1:2">
      <c r="A7752" s="55"/>
      <c r="B7752"/>
    </row>
    <row r="7753" spans="1:2">
      <c r="A7753" s="55"/>
      <c r="B7753"/>
    </row>
    <row r="7754" spans="1:2">
      <c r="A7754" s="55"/>
      <c r="B7754"/>
    </row>
    <row r="7755" spans="1:2">
      <c r="A7755" s="55"/>
      <c r="B7755"/>
    </row>
    <row r="7756" spans="1:2">
      <c r="A7756" s="55"/>
      <c r="B7756"/>
    </row>
    <row r="7757" spans="1:2">
      <c r="A7757" s="55"/>
      <c r="B7757"/>
    </row>
    <row r="7758" spans="1:2">
      <c r="A7758" s="55"/>
      <c r="B7758"/>
    </row>
    <row r="7759" spans="1:2">
      <c r="A7759" s="55"/>
      <c r="B7759"/>
    </row>
    <row r="7760" spans="1:2">
      <c r="A7760" s="55"/>
      <c r="B7760"/>
    </row>
    <row r="7761" spans="1:2">
      <c r="A7761" s="55"/>
      <c r="B7761"/>
    </row>
    <row r="7762" spans="1:2">
      <c r="A7762" s="55"/>
      <c r="B7762"/>
    </row>
    <row r="7763" spans="1:2">
      <c r="A7763" s="55"/>
      <c r="B7763"/>
    </row>
    <row r="7764" spans="1:2">
      <c r="A7764" s="55"/>
      <c r="B7764"/>
    </row>
    <row r="7765" spans="1:2">
      <c r="A7765" s="55"/>
      <c r="B7765"/>
    </row>
    <row r="7766" spans="1:2">
      <c r="A7766" s="55"/>
      <c r="B7766"/>
    </row>
    <row r="7767" spans="1:2">
      <c r="A7767" s="55"/>
      <c r="B7767"/>
    </row>
    <row r="7768" spans="1:2">
      <c r="A7768" s="55"/>
      <c r="B7768"/>
    </row>
    <row r="7769" spans="1:2">
      <c r="A7769" s="55"/>
      <c r="B7769"/>
    </row>
    <row r="7770" spans="1:2">
      <c r="A7770" s="55"/>
      <c r="B7770"/>
    </row>
    <row r="7771" spans="1:2">
      <c r="A7771" s="55"/>
      <c r="B7771"/>
    </row>
    <row r="7772" spans="1:2">
      <c r="A7772" s="55"/>
      <c r="B7772"/>
    </row>
    <row r="7773" spans="1:2">
      <c r="A7773" s="55"/>
      <c r="B7773"/>
    </row>
    <row r="7774" spans="1:2">
      <c r="A7774" s="55"/>
      <c r="B7774"/>
    </row>
    <row r="7775" spans="1:2">
      <c r="A7775" s="55"/>
      <c r="B7775"/>
    </row>
    <row r="7776" spans="1:2">
      <c r="A7776" s="55"/>
      <c r="B7776"/>
    </row>
    <row r="7777" spans="1:2">
      <c r="A7777" s="55"/>
      <c r="B7777"/>
    </row>
    <row r="7778" spans="1:2">
      <c r="A7778" s="55"/>
      <c r="B7778"/>
    </row>
    <row r="7779" spans="1:2">
      <c r="A7779" s="55"/>
      <c r="B7779"/>
    </row>
    <row r="7780" spans="1:2">
      <c r="A7780" s="55"/>
      <c r="B7780"/>
    </row>
    <row r="7781" spans="1:2">
      <c r="A7781" s="55"/>
      <c r="B7781"/>
    </row>
    <row r="7782" spans="1:2">
      <c r="A7782" s="55"/>
      <c r="B7782"/>
    </row>
    <row r="7783" spans="1:2">
      <c r="A7783" s="55"/>
      <c r="B7783"/>
    </row>
    <row r="7784" spans="1:2">
      <c r="A7784" s="55"/>
      <c r="B7784"/>
    </row>
    <row r="7785" spans="1:2">
      <c r="A7785" s="55"/>
      <c r="B7785"/>
    </row>
    <row r="7786" spans="1:2">
      <c r="A7786" s="55"/>
      <c r="B7786"/>
    </row>
    <row r="7787" spans="1:2">
      <c r="A7787" s="55"/>
      <c r="B7787"/>
    </row>
    <row r="7788" spans="1:2">
      <c r="A7788" s="55"/>
      <c r="B7788"/>
    </row>
    <row r="7789" spans="1:2">
      <c r="A7789" s="55"/>
      <c r="B7789"/>
    </row>
    <row r="7790" spans="1:2">
      <c r="A7790" s="55"/>
      <c r="B7790"/>
    </row>
    <row r="7791" spans="1:2">
      <c r="A7791" s="55"/>
      <c r="B7791"/>
    </row>
    <row r="7792" spans="1:2">
      <c r="A7792" s="55"/>
      <c r="B7792"/>
    </row>
    <row r="7793" spans="1:2">
      <c r="A7793" s="55"/>
      <c r="B7793"/>
    </row>
    <row r="7794" spans="1:2">
      <c r="A7794" s="55"/>
      <c r="B7794"/>
    </row>
    <row r="7795" spans="1:2">
      <c r="A7795" s="55"/>
      <c r="B7795"/>
    </row>
    <row r="7796" spans="1:2">
      <c r="A7796" s="55"/>
      <c r="B7796"/>
    </row>
    <row r="7797" spans="1:2">
      <c r="A7797" s="55"/>
      <c r="B7797"/>
    </row>
    <row r="7798" spans="1:2">
      <c r="A7798" s="55"/>
      <c r="B7798"/>
    </row>
    <row r="7799" spans="1:2">
      <c r="A7799" s="55"/>
      <c r="B7799"/>
    </row>
    <row r="7800" spans="1:2">
      <c r="A7800" s="55"/>
      <c r="B7800"/>
    </row>
    <row r="7801" spans="1:2">
      <c r="A7801" s="55"/>
      <c r="B7801"/>
    </row>
    <row r="7802" spans="1:2">
      <c r="A7802" s="55"/>
      <c r="B7802"/>
    </row>
    <row r="7803" spans="1:2">
      <c r="A7803" s="55"/>
      <c r="B7803"/>
    </row>
    <row r="7804" spans="1:2">
      <c r="A7804" s="55"/>
      <c r="B7804"/>
    </row>
    <row r="7805" spans="1:2">
      <c r="A7805" s="55"/>
      <c r="B7805"/>
    </row>
    <row r="7806" spans="1:2">
      <c r="A7806" s="55"/>
      <c r="B7806"/>
    </row>
    <row r="7807" spans="1:2">
      <c r="A7807" s="55"/>
      <c r="B7807"/>
    </row>
    <row r="7808" spans="1:2">
      <c r="A7808" s="55"/>
      <c r="B7808"/>
    </row>
    <row r="7809" spans="1:2">
      <c r="A7809" s="55"/>
      <c r="B7809"/>
    </row>
    <row r="7810" spans="1:2">
      <c r="A7810" s="55"/>
      <c r="B7810"/>
    </row>
    <row r="7811" spans="1:2">
      <c r="A7811" s="55"/>
      <c r="B7811"/>
    </row>
    <row r="7812" spans="1:2">
      <c r="A7812" s="55"/>
      <c r="B7812"/>
    </row>
    <row r="7813" spans="1:2">
      <c r="A7813" s="55"/>
      <c r="B7813"/>
    </row>
    <row r="7814" spans="1:2">
      <c r="A7814" s="55"/>
      <c r="B7814"/>
    </row>
    <row r="7815" spans="1:2">
      <c r="A7815" s="55"/>
      <c r="B7815"/>
    </row>
    <row r="7816" spans="1:2">
      <c r="A7816" s="55"/>
      <c r="B7816"/>
    </row>
    <row r="7817" spans="1:2">
      <c r="A7817" s="55"/>
      <c r="B7817"/>
    </row>
    <row r="7818" spans="1:2">
      <c r="A7818" s="55"/>
      <c r="B7818"/>
    </row>
    <row r="7819" spans="1:2">
      <c r="A7819" s="55"/>
      <c r="B7819"/>
    </row>
    <row r="7820" spans="1:2">
      <c r="A7820" s="55"/>
      <c r="B7820"/>
    </row>
    <row r="7821" spans="1:2">
      <c r="A7821" s="55"/>
      <c r="B7821"/>
    </row>
    <row r="7822" spans="1:2">
      <c r="A7822" s="55"/>
      <c r="B7822"/>
    </row>
    <row r="7823" spans="1:2">
      <c r="A7823" s="55"/>
      <c r="B7823"/>
    </row>
    <row r="7824" spans="1:2">
      <c r="A7824" s="55"/>
      <c r="B7824"/>
    </row>
    <row r="7825" spans="1:2">
      <c r="A7825" s="55"/>
      <c r="B7825"/>
    </row>
    <row r="7826" spans="1:2">
      <c r="A7826" s="55"/>
      <c r="B7826"/>
    </row>
    <row r="7827" spans="1:2">
      <c r="A7827" s="55"/>
      <c r="B7827"/>
    </row>
    <row r="7828" spans="1:2">
      <c r="A7828" s="55"/>
      <c r="B7828"/>
    </row>
    <row r="7829" spans="1:2">
      <c r="A7829" s="55"/>
      <c r="B7829"/>
    </row>
    <row r="7830" spans="1:2">
      <c r="A7830" s="55"/>
      <c r="B7830"/>
    </row>
    <row r="7831" spans="1:2">
      <c r="A7831" s="55"/>
      <c r="B7831"/>
    </row>
    <row r="7832" spans="1:2">
      <c r="A7832" s="55"/>
      <c r="B7832"/>
    </row>
    <row r="7833" spans="1:2">
      <c r="A7833" s="55"/>
      <c r="B7833"/>
    </row>
    <row r="7834" spans="1:2">
      <c r="A7834" s="55"/>
      <c r="B7834"/>
    </row>
    <row r="7835" spans="1:2">
      <c r="A7835" s="55"/>
      <c r="B7835"/>
    </row>
    <row r="7836" spans="1:2">
      <c r="A7836" s="55"/>
      <c r="B7836"/>
    </row>
    <row r="7837" spans="1:2">
      <c r="A7837" s="55"/>
      <c r="B7837"/>
    </row>
    <row r="7838" spans="1:2">
      <c r="A7838" s="55"/>
      <c r="B7838"/>
    </row>
    <row r="7839" spans="1:2">
      <c r="A7839" s="55"/>
      <c r="B7839"/>
    </row>
    <row r="7840" spans="1:2">
      <c r="A7840" s="55"/>
      <c r="B7840"/>
    </row>
    <row r="7841" spans="1:2">
      <c r="A7841" s="55"/>
      <c r="B7841"/>
    </row>
    <row r="7842" spans="1:2">
      <c r="A7842" s="55"/>
      <c r="B7842"/>
    </row>
    <row r="7843" spans="1:2">
      <c r="A7843" s="55"/>
      <c r="B7843"/>
    </row>
    <row r="7844" spans="1:2">
      <c r="A7844" s="55"/>
      <c r="B7844"/>
    </row>
    <row r="7845" spans="1:2">
      <c r="A7845" s="55"/>
      <c r="B7845"/>
    </row>
    <row r="7846" spans="1:2">
      <c r="A7846" s="55"/>
      <c r="B7846"/>
    </row>
    <row r="7847" spans="1:2">
      <c r="A7847" s="55"/>
      <c r="B7847"/>
    </row>
    <row r="7848" spans="1:2">
      <c r="A7848" s="55"/>
      <c r="B7848"/>
    </row>
    <row r="7849" spans="1:2">
      <c r="A7849" s="55"/>
      <c r="B7849"/>
    </row>
    <row r="7850" spans="1:2">
      <c r="A7850" s="55"/>
      <c r="B7850"/>
    </row>
    <row r="7851" spans="1:2">
      <c r="A7851" s="55"/>
      <c r="B7851"/>
    </row>
    <row r="7852" spans="1:2">
      <c r="A7852" s="55"/>
      <c r="B7852"/>
    </row>
    <row r="7853" spans="1:2">
      <c r="A7853" s="55"/>
      <c r="B7853"/>
    </row>
    <row r="7854" spans="1:2">
      <c r="A7854" s="55"/>
      <c r="B7854"/>
    </row>
    <row r="7855" spans="1:2">
      <c r="A7855" s="55"/>
      <c r="B7855"/>
    </row>
    <row r="7856" spans="1:2">
      <c r="A7856" s="55"/>
      <c r="B7856"/>
    </row>
    <row r="7857" spans="1:2">
      <c r="A7857" s="55"/>
      <c r="B7857"/>
    </row>
    <row r="7858" spans="1:2">
      <c r="A7858" s="55"/>
      <c r="B7858"/>
    </row>
    <row r="7859" spans="1:2">
      <c r="A7859" s="55"/>
      <c r="B7859"/>
    </row>
    <row r="7860" spans="1:2">
      <c r="A7860" s="55"/>
      <c r="B7860"/>
    </row>
    <row r="7861" spans="1:2">
      <c r="A7861" s="55"/>
      <c r="B7861"/>
    </row>
    <row r="7862" spans="1:2">
      <c r="A7862" s="55"/>
      <c r="B7862"/>
    </row>
    <row r="7863" spans="1:2">
      <c r="A7863" s="55"/>
      <c r="B7863"/>
    </row>
    <row r="7864" spans="1:2">
      <c r="A7864" s="55"/>
      <c r="B7864"/>
    </row>
    <row r="7865" spans="1:2">
      <c r="A7865" s="55"/>
      <c r="B7865"/>
    </row>
    <row r="7866" spans="1:2">
      <c r="A7866" s="55"/>
      <c r="B7866"/>
    </row>
    <row r="7867" spans="1:2">
      <c r="A7867" s="55"/>
      <c r="B7867"/>
    </row>
    <row r="7868" spans="1:2">
      <c r="A7868" s="55"/>
      <c r="B7868"/>
    </row>
    <row r="7869" spans="1:2">
      <c r="A7869" s="55"/>
      <c r="B7869"/>
    </row>
    <row r="7870" spans="1:2">
      <c r="A7870" s="55"/>
      <c r="B7870"/>
    </row>
    <row r="7871" spans="1:2">
      <c r="A7871" s="55"/>
      <c r="B7871"/>
    </row>
    <row r="7872" spans="1:2">
      <c r="A7872" s="55"/>
      <c r="B7872"/>
    </row>
    <row r="7873" spans="1:2">
      <c r="A7873" s="55"/>
      <c r="B7873"/>
    </row>
    <row r="7874" spans="1:2">
      <c r="A7874" s="55"/>
      <c r="B7874"/>
    </row>
    <row r="7875" spans="1:2">
      <c r="A7875" s="55"/>
      <c r="B7875"/>
    </row>
    <row r="7876" spans="1:2">
      <c r="A7876" s="55"/>
      <c r="B7876"/>
    </row>
    <row r="7877" spans="1:2">
      <c r="A7877" s="55"/>
      <c r="B7877"/>
    </row>
    <row r="7878" spans="1:2">
      <c r="A7878" s="55"/>
      <c r="B7878"/>
    </row>
    <row r="7879" spans="1:2">
      <c r="A7879" s="55"/>
      <c r="B7879"/>
    </row>
    <row r="7880" spans="1:2">
      <c r="A7880" s="55"/>
      <c r="B7880"/>
    </row>
    <row r="7881" spans="1:2">
      <c r="A7881" s="55"/>
      <c r="B7881"/>
    </row>
    <row r="7882" spans="1:2">
      <c r="A7882" s="55"/>
      <c r="B7882"/>
    </row>
    <row r="7883" spans="1:2">
      <c r="A7883" s="55"/>
      <c r="B7883"/>
    </row>
    <row r="7884" spans="1:2">
      <c r="A7884" s="55"/>
      <c r="B7884"/>
    </row>
    <row r="7885" spans="1:2">
      <c r="A7885" s="55"/>
      <c r="B7885"/>
    </row>
    <row r="7886" spans="1:2">
      <c r="A7886" s="55"/>
      <c r="B7886"/>
    </row>
    <row r="7887" spans="1:2">
      <c r="A7887" s="55"/>
      <c r="B7887"/>
    </row>
    <row r="7888" spans="1:2">
      <c r="A7888" s="55"/>
      <c r="B7888"/>
    </row>
    <row r="7889" spans="1:2">
      <c r="A7889" s="55"/>
      <c r="B7889"/>
    </row>
    <row r="7890" spans="1:2">
      <c r="A7890" s="55"/>
      <c r="B7890"/>
    </row>
    <row r="7891" spans="1:2">
      <c r="A7891" s="55"/>
      <c r="B7891"/>
    </row>
    <row r="7892" spans="1:2">
      <c r="A7892" s="55"/>
      <c r="B7892"/>
    </row>
    <row r="7893" spans="1:2">
      <c r="A7893" s="55"/>
      <c r="B7893"/>
    </row>
    <row r="7894" spans="1:2">
      <c r="A7894" s="55"/>
      <c r="B7894"/>
    </row>
    <row r="7895" spans="1:2">
      <c r="A7895" s="55"/>
      <c r="B7895"/>
    </row>
    <row r="7896" spans="1:2">
      <c r="A7896" s="55"/>
      <c r="B7896"/>
    </row>
    <row r="7897" spans="1:2">
      <c r="A7897" s="55"/>
      <c r="B7897"/>
    </row>
    <row r="7898" spans="1:2">
      <c r="A7898" s="55"/>
      <c r="B7898"/>
    </row>
    <row r="7899" spans="1:2">
      <c r="A7899" s="55"/>
      <c r="B7899"/>
    </row>
    <row r="7900" spans="1:2">
      <c r="A7900" s="55"/>
      <c r="B7900"/>
    </row>
    <row r="7901" spans="1:2">
      <c r="A7901" s="55"/>
      <c r="B7901"/>
    </row>
    <row r="7902" spans="1:2">
      <c r="A7902" s="55"/>
      <c r="B7902"/>
    </row>
    <row r="7903" spans="1:2">
      <c r="A7903" s="55"/>
      <c r="B7903"/>
    </row>
    <row r="7904" spans="1:2">
      <c r="A7904" s="55"/>
      <c r="B7904"/>
    </row>
    <row r="7905" spans="1:2">
      <c r="A7905" s="55"/>
      <c r="B7905"/>
    </row>
    <row r="7906" spans="1:2">
      <c r="A7906" s="55"/>
      <c r="B7906"/>
    </row>
    <row r="7907" spans="1:2">
      <c r="A7907" s="55"/>
      <c r="B7907"/>
    </row>
    <row r="7908" spans="1:2">
      <c r="A7908" s="55"/>
      <c r="B7908"/>
    </row>
    <row r="7909" spans="1:2">
      <c r="A7909" s="55"/>
      <c r="B7909"/>
    </row>
    <row r="7910" spans="1:2">
      <c r="A7910" s="55"/>
      <c r="B7910"/>
    </row>
    <row r="7911" spans="1:2">
      <c r="A7911" s="55"/>
      <c r="B7911"/>
    </row>
    <row r="7912" spans="1:2">
      <c r="A7912" s="55"/>
      <c r="B7912"/>
    </row>
    <row r="7913" spans="1:2">
      <c r="A7913" s="55"/>
      <c r="B7913"/>
    </row>
    <row r="7914" spans="1:2">
      <c r="A7914" s="55"/>
      <c r="B7914"/>
    </row>
    <row r="7915" spans="1:2">
      <c r="A7915" s="55"/>
      <c r="B7915"/>
    </row>
    <row r="7916" spans="1:2">
      <c r="A7916" s="55"/>
      <c r="B7916"/>
    </row>
    <row r="7917" spans="1:2">
      <c r="A7917" s="55"/>
      <c r="B7917"/>
    </row>
    <row r="7918" spans="1:2">
      <c r="A7918" s="55"/>
      <c r="B7918"/>
    </row>
    <row r="7919" spans="1:2">
      <c r="A7919" s="55"/>
      <c r="B7919"/>
    </row>
    <row r="7920" spans="1:2">
      <c r="A7920" s="55"/>
      <c r="B7920"/>
    </row>
    <row r="7921" spans="1:2">
      <c r="A7921" s="55"/>
      <c r="B7921"/>
    </row>
    <row r="7922" spans="1:2">
      <c r="A7922" s="55"/>
      <c r="B7922"/>
    </row>
    <row r="7923" spans="1:2">
      <c r="A7923" s="55"/>
      <c r="B7923"/>
    </row>
    <row r="7924" spans="1:2">
      <c r="A7924" s="55"/>
      <c r="B7924"/>
    </row>
    <row r="7925" spans="1:2">
      <c r="A7925" s="55"/>
      <c r="B7925"/>
    </row>
    <row r="7926" spans="1:2">
      <c r="A7926" s="55"/>
      <c r="B7926"/>
    </row>
    <row r="7927" spans="1:2">
      <c r="A7927" s="55"/>
      <c r="B7927"/>
    </row>
    <row r="7928" spans="1:2">
      <c r="A7928" s="55"/>
      <c r="B7928"/>
    </row>
    <row r="7929" spans="1:2">
      <c r="A7929" s="55"/>
      <c r="B7929"/>
    </row>
    <row r="7930" spans="1:2">
      <c r="A7930" s="55"/>
      <c r="B7930"/>
    </row>
    <row r="7931" spans="1:2">
      <c r="A7931" s="55"/>
      <c r="B7931"/>
    </row>
    <row r="7932" spans="1:2">
      <c r="A7932" s="55"/>
      <c r="B7932"/>
    </row>
    <row r="7933" spans="1:2">
      <c r="A7933" s="55"/>
      <c r="B7933"/>
    </row>
    <row r="7934" spans="1:2">
      <c r="A7934" s="55"/>
      <c r="B7934"/>
    </row>
    <row r="7935" spans="1:2">
      <c r="A7935" s="55"/>
      <c r="B7935"/>
    </row>
    <row r="7936" spans="1:2">
      <c r="A7936" s="55"/>
      <c r="B7936"/>
    </row>
    <row r="7937" spans="1:2">
      <c r="A7937" s="55"/>
      <c r="B7937"/>
    </row>
    <row r="7938" spans="1:2">
      <c r="A7938" s="55"/>
      <c r="B7938"/>
    </row>
    <row r="7939" spans="1:2">
      <c r="A7939" s="55"/>
      <c r="B7939"/>
    </row>
    <row r="7940" spans="1:2">
      <c r="A7940" s="55"/>
      <c r="B7940"/>
    </row>
    <row r="7941" spans="1:2">
      <c r="A7941" s="55"/>
      <c r="B7941"/>
    </row>
    <row r="7942" spans="1:2">
      <c r="A7942" s="55"/>
      <c r="B7942"/>
    </row>
    <row r="7943" spans="1:2">
      <c r="A7943" s="55"/>
      <c r="B7943"/>
    </row>
    <row r="7944" spans="1:2">
      <c r="A7944" s="55"/>
      <c r="B7944"/>
    </row>
    <row r="7945" spans="1:2">
      <c r="A7945" s="55"/>
      <c r="B7945"/>
    </row>
    <row r="7946" spans="1:2">
      <c r="A7946" s="55"/>
      <c r="B7946"/>
    </row>
    <row r="7947" spans="1:2">
      <c r="A7947" s="55"/>
      <c r="B7947"/>
    </row>
    <row r="7948" spans="1:2">
      <c r="A7948" s="55"/>
      <c r="B7948"/>
    </row>
    <row r="7949" spans="1:2">
      <c r="A7949" s="55"/>
      <c r="B7949"/>
    </row>
    <row r="7950" spans="1:2">
      <c r="A7950" s="55"/>
      <c r="B7950"/>
    </row>
    <row r="7951" spans="1:2">
      <c r="A7951" s="55"/>
      <c r="B7951"/>
    </row>
    <row r="7952" spans="1:2">
      <c r="A7952" s="55"/>
      <c r="B7952"/>
    </row>
    <row r="7953" spans="1:2">
      <c r="A7953" s="55"/>
      <c r="B7953"/>
    </row>
    <row r="7954" spans="1:2">
      <c r="A7954" s="55"/>
      <c r="B7954"/>
    </row>
    <row r="7955" spans="1:2">
      <c r="A7955" s="55"/>
      <c r="B7955"/>
    </row>
    <row r="7956" spans="1:2">
      <c r="A7956" s="55"/>
      <c r="B7956"/>
    </row>
    <row r="7957" spans="1:2">
      <c r="A7957" s="55"/>
      <c r="B7957"/>
    </row>
    <row r="7958" spans="1:2">
      <c r="A7958" s="55"/>
      <c r="B7958"/>
    </row>
    <row r="7959" spans="1:2">
      <c r="A7959" s="55"/>
      <c r="B7959"/>
    </row>
    <row r="7960" spans="1:2">
      <c r="A7960" s="55"/>
      <c r="B7960"/>
    </row>
    <row r="7961" spans="1:2">
      <c r="A7961" s="55"/>
      <c r="B7961"/>
    </row>
    <row r="7962" spans="1:2">
      <c r="A7962" s="55"/>
      <c r="B7962"/>
    </row>
    <row r="7963" spans="1:2">
      <c r="A7963" s="55"/>
      <c r="B7963"/>
    </row>
    <row r="7964" spans="1:2">
      <c r="A7964" s="55"/>
      <c r="B7964"/>
    </row>
    <row r="7965" spans="1:2">
      <c r="A7965" s="55"/>
      <c r="B7965"/>
    </row>
    <row r="7966" spans="1:2">
      <c r="A7966" s="55"/>
      <c r="B7966"/>
    </row>
    <row r="7967" spans="1:2">
      <c r="A7967" s="55"/>
      <c r="B7967"/>
    </row>
    <row r="7968" spans="1:2">
      <c r="A7968" s="55"/>
      <c r="B7968"/>
    </row>
    <row r="7969" spans="1:2">
      <c r="A7969" s="55"/>
      <c r="B7969"/>
    </row>
    <row r="7970" spans="1:2">
      <c r="A7970" s="55"/>
      <c r="B7970"/>
    </row>
    <row r="7971" spans="1:2">
      <c r="A7971" s="55"/>
      <c r="B7971"/>
    </row>
    <row r="7972" spans="1:2">
      <c r="A7972" s="55"/>
      <c r="B7972"/>
    </row>
    <row r="7973" spans="1:2">
      <c r="A7973" s="55"/>
      <c r="B7973"/>
    </row>
    <row r="7974" spans="1:2">
      <c r="A7974" s="55"/>
      <c r="B7974"/>
    </row>
    <row r="7975" spans="1:2">
      <c r="A7975" s="55"/>
      <c r="B7975"/>
    </row>
    <row r="7976" spans="1:2">
      <c r="A7976" s="55"/>
      <c r="B7976"/>
    </row>
    <row r="7977" spans="1:2">
      <c r="A7977" s="55"/>
      <c r="B7977"/>
    </row>
    <row r="7978" spans="1:2">
      <c r="A7978" s="55"/>
      <c r="B7978"/>
    </row>
    <row r="7979" spans="1:2">
      <c r="A7979" s="55"/>
      <c r="B7979"/>
    </row>
    <row r="7980" spans="1:2">
      <c r="A7980" s="55"/>
      <c r="B7980"/>
    </row>
    <row r="7981" spans="1:2">
      <c r="A7981" s="55"/>
      <c r="B7981"/>
    </row>
    <row r="7982" spans="1:2">
      <c r="A7982" s="55"/>
      <c r="B7982"/>
    </row>
    <row r="7983" spans="1:2">
      <c r="A7983" s="55"/>
      <c r="B7983"/>
    </row>
    <row r="7984" spans="1:2">
      <c r="A7984" s="55"/>
      <c r="B7984"/>
    </row>
    <row r="7985" spans="1:2">
      <c r="A7985" s="55"/>
      <c r="B7985"/>
    </row>
    <row r="7986" spans="1:2">
      <c r="A7986" s="55"/>
      <c r="B7986"/>
    </row>
    <row r="7987" spans="1:2">
      <c r="A7987" s="55"/>
      <c r="B7987"/>
    </row>
    <row r="7988" spans="1:2">
      <c r="A7988" s="55"/>
      <c r="B7988"/>
    </row>
    <row r="7989" spans="1:2">
      <c r="A7989" s="55"/>
      <c r="B7989"/>
    </row>
    <row r="7990" spans="1:2">
      <c r="A7990" s="55"/>
      <c r="B7990"/>
    </row>
    <row r="7991" spans="1:2">
      <c r="A7991" s="55"/>
      <c r="B7991"/>
    </row>
    <row r="7992" spans="1:2">
      <c r="A7992" s="55"/>
      <c r="B7992"/>
    </row>
    <row r="7993" spans="1:2">
      <c r="A7993" s="55"/>
      <c r="B7993"/>
    </row>
    <row r="7994" spans="1:2">
      <c r="A7994" s="55"/>
      <c r="B7994"/>
    </row>
    <row r="7995" spans="1:2">
      <c r="A7995" s="55"/>
      <c r="B7995"/>
    </row>
    <row r="7996" spans="1:2">
      <c r="A7996" s="55"/>
      <c r="B7996"/>
    </row>
    <row r="7997" spans="1:2">
      <c r="A7997" s="55"/>
      <c r="B7997"/>
    </row>
    <row r="7998" spans="1:2">
      <c r="A7998" s="55"/>
      <c r="B7998"/>
    </row>
    <row r="7999" spans="1:2">
      <c r="A7999" s="55"/>
      <c r="B7999"/>
    </row>
    <row r="8000" spans="1:2">
      <c r="A8000" s="55"/>
      <c r="B8000"/>
    </row>
    <row r="8001" spans="1:2">
      <c r="A8001" s="55"/>
      <c r="B8001"/>
    </row>
    <row r="8002" spans="1:2">
      <c r="A8002" s="55"/>
      <c r="B8002"/>
    </row>
    <row r="8003" spans="1:2">
      <c r="A8003" s="55"/>
      <c r="B8003"/>
    </row>
    <row r="8004" spans="1:2">
      <c r="A8004" s="55"/>
      <c r="B8004"/>
    </row>
    <row r="8005" spans="1:2">
      <c r="A8005" s="55"/>
      <c r="B8005"/>
    </row>
    <row r="8006" spans="1:2">
      <c r="A8006" s="55"/>
      <c r="B8006"/>
    </row>
    <row r="8007" spans="1:2">
      <c r="A8007" s="55"/>
      <c r="B8007"/>
    </row>
    <row r="8008" spans="1:2">
      <c r="A8008" s="55"/>
      <c r="B8008"/>
    </row>
    <row r="8009" spans="1:2">
      <c r="A8009" s="55"/>
      <c r="B8009"/>
    </row>
    <row r="8010" spans="1:2">
      <c r="A8010" s="55"/>
      <c r="B8010"/>
    </row>
    <row r="8011" spans="1:2">
      <c r="A8011" s="55"/>
      <c r="B8011"/>
    </row>
    <row r="8012" spans="1:2">
      <c r="A8012" s="55"/>
      <c r="B8012"/>
    </row>
    <row r="8013" spans="1:2">
      <c r="A8013" s="55"/>
      <c r="B8013"/>
    </row>
    <row r="8014" spans="1:2">
      <c r="A8014" s="55"/>
      <c r="B8014"/>
    </row>
    <row r="8015" spans="1:2">
      <c r="A8015" s="55"/>
      <c r="B8015"/>
    </row>
    <row r="8016" spans="1:2">
      <c r="A8016" s="55"/>
      <c r="B8016"/>
    </row>
    <row r="8017" spans="1:2">
      <c r="A8017" s="55"/>
      <c r="B8017"/>
    </row>
    <row r="8018" spans="1:2">
      <c r="A8018" s="55"/>
      <c r="B8018"/>
    </row>
    <row r="8019" spans="1:2">
      <c r="A8019" s="55"/>
      <c r="B8019"/>
    </row>
    <row r="8020" spans="1:2">
      <c r="A8020" s="55"/>
      <c r="B8020"/>
    </row>
    <row r="8021" spans="1:2">
      <c r="A8021" s="55"/>
      <c r="B8021"/>
    </row>
    <row r="8022" spans="1:2">
      <c r="A8022" s="55"/>
      <c r="B8022"/>
    </row>
    <row r="8023" spans="1:2">
      <c r="A8023" s="55"/>
      <c r="B8023"/>
    </row>
    <row r="8024" spans="1:2">
      <c r="A8024" s="55"/>
      <c r="B8024"/>
    </row>
    <row r="8025" spans="1:2">
      <c r="A8025" s="55"/>
      <c r="B8025"/>
    </row>
    <row r="8026" spans="1:2">
      <c r="A8026" s="55"/>
      <c r="B8026"/>
    </row>
    <row r="8027" spans="1:2">
      <c r="A8027" s="55"/>
      <c r="B8027"/>
    </row>
    <row r="8028" spans="1:2">
      <c r="A8028" s="55"/>
      <c r="B8028"/>
    </row>
    <row r="8029" spans="1:2">
      <c r="A8029" s="55"/>
      <c r="B8029"/>
    </row>
    <row r="8030" spans="1:2">
      <c r="A8030" s="55"/>
      <c r="B8030"/>
    </row>
    <row r="8031" spans="1:2">
      <c r="A8031" s="55"/>
      <c r="B8031"/>
    </row>
    <row r="8032" spans="1:2">
      <c r="A8032" s="55"/>
      <c r="B8032"/>
    </row>
    <row r="8033" spans="1:2">
      <c r="A8033" s="55"/>
      <c r="B8033"/>
    </row>
    <row r="8034" spans="1:2">
      <c r="A8034" s="55"/>
      <c r="B8034"/>
    </row>
    <row r="8035" spans="1:2">
      <c r="A8035" s="55"/>
      <c r="B8035"/>
    </row>
    <row r="8036" spans="1:2">
      <c r="A8036" s="55"/>
      <c r="B8036"/>
    </row>
    <row r="8037" spans="1:2">
      <c r="A8037" s="55"/>
      <c r="B8037"/>
    </row>
    <row r="8038" spans="1:2">
      <c r="A8038" s="55"/>
      <c r="B8038"/>
    </row>
    <row r="8039" spans="1:2">
      <c r="A8039" s="55"/>
      <c r="B8039"/>
    </row>
    <row r="8040" spans="1:2">
      <c r="A8040" s="55"/>
      <c r="B8040"/>
    </row>
    <row r="8041" spans="1:2">
      <c r="A8041" s="55"/>
      <c r="B8041"/>
    </row>
    <row r="8042" spans="1:2">
      <c r="A8042" s="55"/>
      <c r="B8042"/>
    </row>
    <row r="8043" spans="1:2">
      <c r="A8043" s="55"/>
      <c r="B8043"/>
    </row>
    <row r="8044" spans="1:2">
      <c r="A8044" s="55"/>
      <c r="B8044"/>
    </row>
    <row r="8045" spans="1:2">
      <c r="A8045" s="55"/>
      <c r="B8045"/>
    </row>
    <row r="8046" spans="1:2">
      <c r="A8046" s="55"/>
      <c r="B8046"/>
    </row>
    <row r="8047" spans="1:2">
      <c r="A8047" s="55"/>
      <c r="B8047"/>
    </row>
    <row r="8048" spans="1:2">
      <c r="A8048" s="55"/>
      <c r="B8048"/>
    </row>
    <row r="8049" spans="1:2">
      <c r="A8049" s="55"/>
      <c r="B8049"/>
    </row>
    <row r="8050" spans="1:2">
      <c r="A8050" s="55"/>
      <c r="B8050"/>
    </row>
    <row r="8051" spans="1:2">
      <c r="A8051" s="55"/>
      <c r="B8051"/>
    </row>
    <row r="8052" spans="1:2">
      <c r="A8052" s="55"/>
      <c r="B8052"/>
    </row>
    <row r="8053" spans="1:2">
      <c r="A8053" s="55"/>
      <c r="B8053"/>
    </row>
    <row r="8054" spans="1:2">
      <c r="A8054" s="55"/>
      <c r="B8054"/>
    </row>
    <row r="8055" spans="1:2">
      <c r="A8055" s="55"/>
      <c r="B8055"/>
    </row>
    <row r="8056" spans="1:2">
      <c r="A8056" s="55"/>
      <c r="B8056"/>
    </row>
    <row r="8057" spans="1:2">
      <c r="A8057" s="55"/>
      <c r="B8057"/>
    </row>
    <row r="8058" spans="1:2">
      <c r="A8058" s="55"/>
      <c r="B8058"/>
    </row>
    <row r="8059" spans="1:2">
      <c r="A8059" s="55"/>
      <c r="B8059"/>
    </row>
    <row r="8060" spans="1:2">
      <c r="A8060" s="55"/>
      <c r="B8060"/>
    </row>
    <row r="8061" spans="1:2">
      <c r="A8061" s="55"/>
      <c r="B8061"/>
    </row>
    <row r="8062" spans="1:2">
      <c r="A8062" s="55"/>
      <c r="B8062"/>
    </row>
    <row r="8063" spans="1:2">
      <c r="A8063" s="55"/>
      <c r="B8063"/>
    </row>
    <row r="8064" spans="1:2">
      <c r="A8064" s="55"/>
      <c r="B8064"/>
    </row>
    <row r="8065" spans="1:2">
      <c r="A8065" s="55"/>
      <c r="B8065"/>
    </row>
    <row r="8066" spans="1:2">
      <c r="A8066" s="55"/>
      <c r="B8066"/>
    </row>
    <row r="8067" spans="1:2">
      <c r="A8067" s="55"/>
      <c r="B8067"/>
    </row>
    <row r="8068" spans="1:2">
      <c r="A8068" s="55"/>
      <c r="B8068"/>
    </row>
    <row r="8069" spans="1:2">
      <c r="A8069" s="55"/>
      <c r="B8069"/>
    </row>
    <row r="8070" spans="1:2">
      <c r="A8070" s="55"/>
      <c r="B8070"/>
    </row>
    <row r="8071" spans="1:2">
      <c r="A8071" s="55"/>
      <c r="B8071"/>
    </row>
    <row r="8072" spans="1:2">
      <c r="A8072" s="55"/>
      <c r="B8072"/>
    </row>
    <row r="8073" spans="1:2">
      <c r="A8073" s="55"/>
      <c r="B8073"/>
    </row>
    <row r="8074" spans="1:2">
      <c r="A8074" s="55"/>
      <c r="B8074"/>
    </row>
    <row r="8075" spans="1:2">
      <c r="A8075" s="55"/>
      <c r="B8075"/>
    </row>
    <row r="8076" spans="1:2">
      <c r="A8076" s="55"/>
      <c r="B8076"/>
    </row>
    <row r="8077" spans="1:2">
      <c r="A8077" s="55"/>
      <c r="B8077"/>
    </row>
    <row r="8078" spans="1:2">
      <c r="A8078" s="55"/>
      <c r="B8078"/>
    </row>
    <row r="8079" spans="1:2">
      <c r="A8079" s="55"/>
      <c r="B8079"/>
    </row>
    <row r="8080" spans="1:2">
      <c r="A8080" s="55"/>
      <c r="B8080"/>
    </row>
    <row r="8081" spans="1:2">
      <c r="A8081" s="55"/>
      <c r="B8081"/>
    </row>
    <row r="8082" spans="1:2">
      <c r="A8082" s="55"/>
      <c r="B8082"/>
    </row>
    <row r="8083" spans="1:2">
      <c r="A8083" s="55"/>
      <c r="B8083"/>
    </row>
    <row r="8084" spans="1:2">
      <c r="A8084" s="55"/>
      <c r="B8084"/>
    </row>
    <row r="8085" spans="1:2">
      <c r="A8085" s="55"/>
      <c r="B8085"/>
    </row>
    <row r="8086" spans="1:2">
      <c r="A8086" s="55"/>
      <c r="B8086"/>
    </row>
    <row r="8087" spans="1:2">
      <c r="A8087" s="55"/>
      <c r="B8087"/>
    </row>
    <row r="8088" spans="1:2">
      <c r="A8088" s="55"/>
      <c r="B8088"/>
    </row>
    <row r="8089" spans="1:2">
      <c r="A8089" s="55"/>
      <c r="B8089"/>
    </row>
    <row r="8090" spans="1:2">
      <c r="A8090" s="55"/>
      <c r="B8090"/>
    </row>
    <row r="8091" spans="1:2">
      <c r="A8091" s="55"/>
      <c r="B8091"/>
    </row>
    <row r="8092" spans="1:2">
      <c r="A8092" s="55"/>
      <c r="B8092"/>
    </row>
    <row r="8093" spans="1:2">
      <c r="A8093" s="55"/>
      <c r="B8093"/>
    </row>
    <row r="8094" spans="1:2">
      <c r="A8094" s="55"/>
      <c r="B8094"/>
    </row>
    <row r="8095" spans="1:2">
      <c r="A8095" s="55"/>
      <c r="B8095"/>
    </row>
    <row r="8096" spans="1:2">
      <c r="A8096" s="55"/>
      <c r="B8096"/>
    </row>
    <row r="8097" spans="1:2">
      <c r="A8097" s="55"/>
      <c r="B8097"/>
    </row>
    <row r="8098" spans="1:2">
      <c r="A8098" s="55"/>
      <c r="B8098"/>
    </row>
    <row r="8099" spans="1:2">
      <c r="A8099" s="55"/>
      <c r="B8099"/>
    </row>
    <row r="8100" spans="1:2">
      <c r="A8100" s="55"/>
      <c r="B8100"/>
    </row>
    <row r="8101" spans="1:2">
      <c r="A8101" s="55"/>
      <c r="B8101"/>
    </row>
    <row r="8102" spans="1:2">
      <c r="A8102" s="55"/>
      <c r="B8102"/>
    </row>
    <row r="8103" spans="1:2">
      <c r="A8103" s="55"/>
      <c r="B8103"/>
    </row>
    <row r="8104" spans="1:2">
      <c r="A8104" s="55"/>
      <c r="B8104"/>
    </row>
    <row r="8105" spans="1:2">
      <c r="A8105" s="55"/>
      <c r="B8105"/>
    </row>
    <row r="8106" spans="1:2">
      <c r="A8106" s="55"/>
      <c r="B8106"/>
    </row>
    <row r="8107" spans="1:2">
      <c r="A8107" s="55"/>
      <c r="B8107"/>
    </row>
    <row r="8108" spans="1:2">
      <c r="A8108" s="55"/>
      <c r="B8108"/>
    </row>
    <row r="8109" spans="1:2">
      <c r="A8109" s="55"/>
      <c r="B8109"/>
    </row>
    <row r="8110" spans="1:2">
      <c r="A8110" s="55"/>
      <c r="B8110"/>
    </row>
    <row r="8111" spans="1:2">
      <c r="A8111" s="55"/>
      <c r="B8111"/>
    </row>
    <row r="8112" spans="1:2">
      <c r="A8112" s="55"/>
      <c r="B8112"/>
    </row>
    <row r="8113" spans="1:2">
      <c r="A8113" s="55"/>
      <c r="B8113"/>
    </row>
    <row r="8114" spans="1:2">
      <c r="A8114" s="55"/>
      <c r="B8114"/>
    </row>
    <row r="8115" spans="1:2">
      <c r="A8115" s="55"/>
      <c r="B8115"/>
    </row>
    <row r="8116" spans="1:2">
      <c r="A8116" s="55"/>
      <c r="B8116"/>
    </row>
    <row r="8117" spans="1:2">
      <c r="A8117" s="55"/>
      <c r="B8117"/>
    </row>
    <row r="8118" spans="1:2">
      <c r="A8118" s="55"/>
      <c r="B8118"/>
    </row>
    <row r="8119" spans="1:2">
      <c r="A8119" s="55"/>
      <c r="B8119"/>
    </row>
    <row r="8120" spans="1:2">
      <c r="A8120" s="55"/>
      <c r="B8120"/>
    </row>
    <row r="8121" spans="1:2">
      <c r="A8121" s="55"/>
      <c r="B8121"/>
    </row>
    <row r="8122" spans="1:2">
      <c r="A8122" s="55"/>
      <c r="B8122"/>
    </row>
    <row r="8123" spans="1:2">
      <c r="A8123" s="55"/>
      <c r="B8123"/>
    </row>
    <row r="8124" spans="1:2">
      <c r="A8124" s="55"/>
      <c r="B8124"/>
    </row>
    <row r="8125" spans="1:2">
      <c r="A8125" s="55"/>
      <c r="B8125"/>
    </row>
    <row r="8126" spans="1:2">
      <c r="A8126" s="55"/>
      <c r="B8126"/>
    </row>
    <row r="8127" spans="1:2">
      <c r="A8127" s="55"/>
      <c r="B8127"/>
    </row>
    <row r="8128" spans="1:2">
      <c r="A8128" s="55"/>
      <c r="B8128"/>
    </row>
    <row r="8129" spans="1:2">
      <c r="A8129" s="55"/>
      <c r="B8129"/>
    </row>
    <row r="8130" spans="1:2">
      <c r="A8130" s="55"/>
      <c r="B8130"/>
    </row>
    <row r="8131" spans="1:2">
      <c r="A8131" s="55"/>
      <c r="B8131"/>
    </row>
    <row r="8132" spans="1:2">
      <c r="A8132" s="55"/>
      <c r="B8132"/>
    </row>
    <row r="8133" spans="1:2">
      <c r="A8133" s="55"/>
      <c r="B8133"/>
    </row>
    <row r="8134" spans="1:2">
      <c r="A8134" s="55"/>
      <c r="B8134"/>
    </row>
    <row r="8135" spans="1:2">
      <c r="A8135" s="55"/>
      <c r="B8135"/>
    </row>
    <row r="8136" spans="1:2">
      <c r="A8136" s="55"/>
      <c r="B8136"/>
    </row>
    <row r="8137" spans="1:2">
      <c r="A8137" s="55"/>
      <c r="B8137"/>
    </row>
    <row r="8138" spans="1:2">
      <c r="A8138" s="55"/>
      <c r="B8138"/>
    </row>
    <row r="8139" spans="1:2">
      <c r="A8139" s="55"/>
      <c r="B8139"/>
    </row>
    <row r="8140" spans="1:2">
      <c r="A8140" s="55"/>
      <c r="B8140"/>
    </row>
    <row r="8141" spans="1:2">
      <c r="A8141" s="55"/>
      <c r="B8141"/>
    </row>
    <row r="8142" spans="1:2">
      <c r="A8142" s="55"/>
      <c r="B8142"/>
    </row>
    <row r="8143" spans="1:2">
      <c r="A8143" s="55"/>
      <c r="B8143"/>
    </row>
    <row r="8144" spans="1:2">
      <c r="A8144" s="55"/>
      <c r="B8144"/>
    </row>
    <row r="8145" spans="1:2">
      <c r="A8145" s="55"/>
      <c r="B8145"/>
    </row>
    <row r="8146" spans="1:2">
      <c r="A8146" s="55"/>
      <c r="B8146"/>
    </row>
    <row r="8147" spans="1:2">
      <c r="A8147" s="55"/>
      <c r="B8147"/>
    </row>
    <row r="8148" spans="1:2">
      <c r="A8148" s="55"/>
      <c r="B8148"/>
    </row>
    <row r="8149" spans="1:2">
      <c r="A8149" s="55"/>
      <c r="B8149"/>
    </row>
    <row r="8150" spans="1:2">
      <c r="A8150" s="55"/>
      <c r="B8150"/>
    </row>
    <row r="8151" spans="1:2">
      <c r="A8151" s="55"/>
      <c r="B8151"/>
    </row>
    <row r="8152" spans="1:2">
      <c r="A8152" s="55"/>
      <c r="B8152"/>
    </row>
    <row r="8153" spans="1:2">
      <c r="A8153" s="55"/>
      <c r="B8153"/>
    </row>
    <row r="8154" spans="1:2">
      <c r="A8154" s="55"/>
      <c r="B8154"/>
    </row>
    <row r="8155" spans="1:2">
      <c r="A8155" s="55"/>
      <c r="B8155"/>
    </row>
    <row r="8156" spans="1:2">
      <c r="A8156" s="55"/>
      <c r="B8156"/>
    </row>
    <row r="8157" spans="1:2">
      <c r="A8157" s="55"/>
      <c r="B8157"/>
    </row>
    <row r="8158" spans="1:2">
      <c r="A8158" s="55"/>
      <c r="B8158"/>
    </row>
    <row r="8159" spans="1:2">
      <c r="A8159" s="55"/>
      <c r="B8159"/>
    </row>
    <row r="8160" spans="1:2">
      <c r="A8160" s="55"/>
      <c r="B8160"/>
    </row>
    <row r="8161" spans="1:2">
      <c r="A8161" s="55"/>
      <c r="B8161"/>
    </row>
    <row r="8162" spans="1:2">
      <c r="A8162" s="55"/>
      <c r="B8162"/>
    </row>
    <row r="8163" spans="1:2">
      <c r="A8163" s="55"/>
      <c r="B8163"/>
    </row>
    <row r="8164" spans="1:2">
      <c r="A8164" s="55"/>
      <c r="B8164"/>
    </row>
    <row r="8165" spans="1:2">
      <c r="A8165" s="55"/>
      <c r="B8165"/>
    </row>
    <row r="8166" spans="1:2">
      <c r="A8166" s="55"/>
      <c r="B8166"/>
    </row>
    <row r="8167" spans="1:2">
      <c r="A8167" s="55"/>
      <c r="B8167"/>
    </row>
    <row r="8168" spans="1:2">
      <c r="A8168" s="55"/>
      <c r="B8168"/>
    </row>
    <row r="8169" spans="1:2">
      <c r="A8169" s="55"/>
      <c r="B8169"/>
    </row>
    <row r="8170" spans="1:2">
      <c r="A8170" s="55"/>
      <c r="B8170"/>
    </row>
    <row r="8171" spans="1:2">
      <c r="A8171" s="55"/>
      <c r="B8171"/>
    </row>
    <row r="8172" spans="1:2">
      <c r="A8172" s="55"/>
      <c r="B8172"/>
    </row>
    <row r="8173" spans="1:2">
      <c r="A8173" s="55"/>
      <c r="B8173"/>
    </row>
    <row r="8174" spans="1:2">
      <c r="A8174" s="55"/>
      <c r="B8174"/>
    </row>
    <row r="8175" spans="1:2">
      <c r="A8175" s="55"/>
      <c r="B8175"/>
    </row>
    <row r="8176" spans="1:2">
      <c r="A8176" s="55"/>
      <c r="B8176"/>
    </row>
    <row r="8177" spans="1:2">
      <c r="A8177" s="55"/>
      <c r="B8177"/>
    </row>
    <row r="8178" spans="1:2">
      <c r="A8178" s="55"/>
      <c r="B8178"/>
    </row>
    <row r="8179" spans="1:2">
      <c r="A8179" s="55"/>
      <c r="B8179"/>
    </row>
    <row r="8180" spans="1:2">
      <c r="A8180" s="55"/>
      <c r="B8180"/>
    </row>
    <row r="8181" spans="1:2">
      <c r="A8181" s="55"/>
      <c r="B8181"/>
    </row>
    <row r="8182" spans="1:2">
      <c r="A8182" s="55"/>
      <c r="B8182"/>
    </row>
    <row r="8183" spans="1:2">
      <c r="A8183" s="55"/>
      <c r="B8183"/>
    </row>
    <row r="8184" spans="1:2">
      <c r="A8184" s="55"/>
      <c r="B8184"/>
    </row>
    <row r="8185" spans="1:2">
      <c r="A8185" s="55"/>
      <c r="B8185"/>
    </row>
    <row r="8186" spans="1:2">
      <c r="A8186" s="55"/>
      <c r="B8186"/>
    </row>
    <row r="8187" spans="1:2">
      <c r="A8187" s="55"/>
      <c r="B8187"/>
    </row>
    <row r="8188" spans="1:2">
      <c r="A8188" s="55"/>
      <c r="B8188"/>
    </row>
    <row r="8189" spans="1:2">
      <c r="A8189" s="55"/>
      <c r="B8189"/>
    </row>
    <row r="8190" spans="1:2">
      <c r="A8190" s="55"/>
      <c r="B8190"/>
    </row>
    <row r="8191" spans="1:2">
      <c r="A8191" s="55"/>
      <c r="B8191"/>
    </row>
    <row r="8192" spans="1:2">
      <c r="A8192" s="55"/>
      <c r="B8192"/>
    </row>
    <row r="8193" spans="1:2">
      <c r="A8193" s="55"/>
      <c r="B8193"/>
    </row>
    <row r="8194" spans="1:2">
      <c r="A8194" s="55"/>
      <c r="B8194"/>
    </row>
    <row r="8195" spans="1:2">
      <c r="A8195" s="55"/>
      <c r="B8195"/>
    </row>
    <row r="8196" spans="1:2">
      <c r="A8196" s="55"/>
      <c r="B8196"/>
    </row>
    <row r="8197" spans="1:2">
      <c r="A8197" s="55"/>
      <c r="B8197"/>
    </row>
    <row r="8198" spans="1:2">
      <c r="A8198" s="55"/>
      <c r="B8198"/>
    </row>
    <row r="8199" spans="1:2">
      <c r="A8199" s="55"/>
      <c r="B8199"/>
    </row>
    <row r="8200" spans="1:2">
      <c r="A8200" s="55"/>
      <c r="B8200"/>
    </row>
    <row r="8201" spans="1:2">
      <c r="A8201" s="55"/>
      <c r="B8201"/>
    </row>
    <row r="8202" spans="1:2">
      <c r="A8202" s="55"/>
      <c r="B8202"/>
    </row>
    <row r="8203" spans="1:2">
      <c r="A8203" s="55"/>
      <c r="B8203"/>
    </row>
    <row r="8204" spans="1:2">
      <c r="A8204" s="55"/>
      <c r="B8204"/>
    </row>
    <row r="8205" spans="1:2">
      <c r="A8205" s="55"/>
      <c r="B8205"/>
    </row>
    <row r="8206" spans="1:2">
      <c r="A8206" s="55"/>
      <c r="B8206"/>
    </row>
    <row r="8207" spans="1:2">
      <c r="A8207" s="55"/>
      <c r="B8207"/>
    </row>
    <row r="8208" spans="1:2">
      <c r="A8208" s="55"/>
      <c r="B8208"/>
    </row>
    <row r="8209" spans="1:2">
      <c r="A8209" s="55"/>
      <c r="B8209"/>
    </row>
    <row r="8210" spans="1:2">
      <c r="A8210" s="55"/>
      <c r="B8210"/>
    </row>
    <row r="8211" spans="1:2">
      <c r="A8211" s="55"/>
      <c r="B8211"/>
    </row>
    <row r="8212" spans="1:2">
      <c r="A8212" s="55"/>
      <c r="B8212"/>
    </row>
    <row r="8213" spans="1:2">
      <c r="A8213" s="55"/>
      <c r="B8213"/>
    </row>
    <row r="8214" spans="1:2">
      <c r="A8214" s="55"/>
      <c r="B8214"/>
    </row>
    <row r="8215" spans="1:2">
      <c r="A8215" s="55"/>
      <c r="B8215"/>
    </row>
    <row r="8216" spans="1:2">
      <c r="A8216" s="55"/>
      <c r="B8216"/>
    </row>
    <row r="8217" spans="1:2">
      <c r="A8217" s="55"/>
      <c r="B8217"/>
    </row>
    <row r="8218" spans="1:2">
      <c r="A8218" s="55"/>
      <c r="B8218"/>
    </row>
    <row r="8219" spans="1:2">
      <c r="A8219" s="55"/>
      <c r="B8219"/>
    </row>
    <row r="8220" spans="1:2">
      <c r="A8220" s="55"/>
      <c r="B8220"/>
    </row>
    <row r="8221" spans="1:2">
      <c r="A8221" s="55"/>
      <c r="B8221"/>
    </row>
    <row r="8222" spans="1:2">
      <c r="A8222" s="55"/>
      <c r="B8222"/>
    </row>
    <row r="8223" spans="1:2">
      <c r="A8223" s="55"/>
      <c r="B8223"/>
    </row>
    <row r="8224" spans="1:2">
      <c r="A8224" s="55"/>
      <c r="B8224"/>
    </row>
    <row r="8225" spans="1:2">
      <c r="A8225" s="55"/>
      <c r="B8225"/>
    </row>
    <row r="8226" spans="1:2">
      <c r="A8226" s="55"/>
      <c r="B8226"/>
    </row>
    <row r="8227" spans="1:2">
      <c r="A8227" s="55"/>
      <c r="B8227"/>
    </row>
    <row r="8228" spans="1:2">
      <c r="A8228" s="55"/>
      <c r="B8228"/>
    </row>
    <row r="8229" spans="1:2">
      <c r="A8229" s="55"/>
      <c r="B8229"/>
    </row>
    <row r="8230" spans="1:2">
      <c r="A8230" s="55"/>
      <c r="B8230"/>
    </row>
    <row r="8231" spans="1:2">
      <c r="A8231" s="55"/>
      <c r="B8231"/>
    </row>
    <row r="8232" spans="1:2">
      <c r="A8232" s="55"/>
      <c r="B8232"/>
    </row>
    <row r="8233" spans="1:2">
      <c r="A8233" s="55"/>
      <c r="B8233"/>
    </row>
    <row r="8234" spans="1:2">
      <c r="A8234" s="55"/>
      <c r="B8234"/>
    </row>
    <row r="8235" spans="1:2">
      <c r="A8235" s="55"/>
      <c r="B8235"/>
    </row>
    <row r="8236" spans="1:2">
      <c r="A8236" s="55"/>
      <c r="B8236"/>
    </row>
    <row r="8237" spans="1:2">
      <c r="A8237" s="55"/>
      <c r="B8237"/>
    </row>
    <row r="8238" spans="1:2">
      <c r="A8238" s="55"/>
      <c r="B8238"/>
    </row>
    <row r="8239" spans="1:2">
      <c r="A8239" s="55"/>
      <c r="B8239"/>
    </row>
    <row r="8240" spans="1:2">
      <c r="A8240" s="55"/>
      <c r="B8240"/>
    </row>
    <row r="8241" spans="1:2">
      <c r="A8241" s="55"/>
      <c r="B8241"/>
    </row>
    <row r="8242" spans="1:2">
      <c r="A8242" s="55"/>
      <c r="B8242"/>
    </row>
    <row r="8243" spans="1:2">
      <c r="A8243" s="55"/>
      <c r="B8243"/>
    </row>
    <row r="8244" spans="1:2">
      <c r="A8244" s="55"/>
      <c r="B8244"/>
    </row>
    <row r="8245" spans="1:2">
      <c r="A8245" s="55"/>
      <c r="B8245"/>
    </row>
    <row r="8246" spans="1:2">
      <c r="A8246" s="55"/>
      <c r="B8246"/>
    </row>
    <row r="8247" spans="1:2">
      <c r="A8247" s="55"/>
      <c r="B8247"/>
    </row>
    <row r="8248" spans="1:2">
      <c r="A8248" s="55"/>
      <c r="B8248"/>
    </row>
    <row r="8249" spans="1:2">
      <c r="A8249" s="55"/>
      <c r="B8249"/>
    </row>
    <row r="8250" spans="1:2">
      <c r="A8250" s="55"/>
      <c r="B8250"/>
    </row>
    <row r="8251" spans="1:2">
      <c r="A8251" s="55"/>
      <c r="B8251"/>
    </row>
    <row r="8252" spans="1:2">
      <c r="A8252" s="55"/>
      <c r="B8252"/>
    </row>
    <row r="8253" spans="1:2">
      <c r="A8253" s="55"/>
      <c r="B8253"/>
    </row>
    <row r="8254" spans="1:2">
      <c r="A8254" s="55"/>
      <c r="B8254"/>
    </row>
    <row r="8255" spans="1:2">
      <c r="A8255" s="55"/>
      <c r="B8255"/>
    </row>
    <row r="8256" spans="1:2">
      <c r="A8256" s="55"/>
      <c r="B8256"/>
    </row>
    <row r="8257" spans="1:2">
      <c r="A8257" s="55"/>
      <c r="B8257"/>
    </row>
    <row r="8258" spans="1:2">
      <c r="A8258" s="55"/>
      <c r="B8258"/>
    </row>
    <row r="8259" spans="1:2">
      <c r="A8259" s="55"/>
      <c r="B8259"/>
    </row>
    <row r="8260" spans="1:2">
      <c r="A8260" s="55"/>
      <c r="B8260"/>
    </row>
    <row r="8261" spans="1:2">
      <c r="A8261" s="55"/>
      <c r="B8261"/>
    </row>
    <row r="8262" spans="1:2">
      <c r="A8262" s="55"/>
      <c r="B8262"/>
    </row>
    <row r="8263" spans="1:2">
      <c r="A8263" s="55"/>
      <c r="B8263"/>
    </row>
    <row r="8264" spans="1:2">
      <c r="A8264" s="55"/>
      <c r="B8264"/>
    </row>
    <row r="8265" spans="1:2">
      <c r="A8265" s="55"/>
      <c r="B8265"/>
    </row>
    <row r="8266" spans="1:2">
      <c r="A8266" s="55"/>
      <c r="B8266"/>
    </row>
    <row r="8267" spans="1:2">
      <c r="A8267" s="55"/>
      <c r="B8267"/>
    </row>
    <row r="8268" spans="1:2">
      <c r="A8268" s="55"/>
      <c r="B8268"/>
    </row>
    <row r="8269" spans="1:2">
      <c r="A8269" s="55"/>
      <c r="B8269"/>
    </row>
    <row r="8270" spans="1:2">
      <c r="A8270" s="55"/>
      <c r="B8270"/>
    </row>
    <row r="8271" spans="1:2">
      <c r="A8271" s="55"/>
      <c r="B8271"/>
    </row>
    <row r="8272" spans="1:2">
      <c r="A8272" s="55"/>
      <c r="B8272"/>
    </row>
    <row r="8273" spans="1:2">
      <c r="A8273" s="55"/>
      <c r="B8273"/>
    </row>
    <row r="8274" spans="1:2">
      <c r="A8274" s="55"/>
      <c r="B8274"/>
    </row>
    <row r="8275" spans="1:2">
      <c r="A8275" s="55"/>
      <c r="B8275"/>
    </row>
    <row r="8276" spans="1:2">
      <c r="A8276" s="55"/>
      <c r="B8276"/>
    </row>
    <row r="8277" spans="1:2">
      <c r="A8277" s="55"/>
      <c r="B8277"/>
    </row>
    <row r="8278" spans="1:2">
      <c r="A8278" s="55"/>
      <c r="B8278"/>
    </row>
    <row r="8279" spans="1:2">
      <c r="A8279" s="55"/>
      <c r="B8279"/>
    </row>
    <row r="8280" spans="1:2">
      <c r="A8280" s="55"/>
      <c r="B8280"/>
    </row>
    <row r="8281" spans="1:2">
      <c r="A8281" s="55"/>
      <c r="B8281"/>
    </row>
    <row r="8282" spans="1:2">
      <c r="A8282" s="55"/>
      <c r="B8282"/>
    </row>
    <row r="8283" spans="1:2">
      <c r="A8283" s="55"/>
      <c r="B8283"/>
    </row>
    <row r="8284" spans="1:2">
      <c r="A8284" s="55"/>
      <c r="B8284"/>
    </row>
    <row r="8285" spans="1:2">
      <c r="A8285" s="55"/>
      <c r="B8285"/>
    </row>
    <row r="8286" spans="1:2">
      <c r="A8286" s="55"/>
      <c r="B8286"/>
    </row>
    <row r="8287" spans="1:2">
      <c r="A8287" s="55"/>
      <c r="B8287"/>
    </row>
    <row r="8288" spans="1:2">
      <c r="A8288" s="55"/>
      <c r="B8288"/>
    </row>
    <row r="8289" spans="1:2">
      <c r="A8289" s="55"/>
      <c r="B8289"/>
    </row>
    <row r="8290" spans="1:2">
      <c r="A8290" s="55"/>
      <c r="B8290"/>
    </row>
    <row r="8291" spans="1:2">
      <c r="A8291" s="55"/>
      <c r="B8291"/>
    </row>
    <row r="8292" spans="1:2">
      <c r="A8292" s="55"/>
      <c r="B8292"/>
    </row>
    <row r="8293" spans="1:2">
      <c r="A8293" s="55"/>
      <c r="B8293"/>
    </row>
    <row r="8294" spans="1:2">
      <c r="A8294" s="55"/>
      <c r="B8294"/>
    </row>
    <row r="8295" spans="1:2">
      <c r="A8295" s="55"/>
      <c r="B8295"/>
    </row>
    <row r="8296" spans="1:2">
      <c r="A8296" s="55"/>
      <c r="B8296"/>
    </row>
    <row r="8297" spans="1:2">
      <c r="A8297" s="55"/>
      <c r="B8297"/>
    </row>
    <row r="8298" spans="1:2">
      <c r="A8298" s="55"/>
      <c r="B8298"/>
    </row>
    <row r="8299" spans="1:2">
      <c r="A8299" s="55"/>
      <c r="B8299"/>
    </row>
    <row r="8300" spans="1:2">
      <c r="A8300" s="55"/>
      <c r="B8300"/>
    </row>
    <row r="8301" spans="1:2">
      <c r="A8301" s="55"/>
      <c r="B8301"/>
    </row>
    <row r="8302" spans="1:2">
      <c r="A8302" s="55"/>
      <c r="B8302"/>
    </row>
    <row r="8303" spans="1:2">
      <c r="A8303" s="55"/>
      <c r="B8303"/>
    </row>
    <row r="8304" spans="1:2">
      <c r="A8304" s="55"/>
      <c r="B8304"/>
    </row>
    <row r="8305" spans="1:2">
      <c r="A8305" s="55"/>
      <c r="B8305"/>
    </row>
    <row r="8306" spans="1:2">
      <c r="A8306" s="55"/>
      <c r="B8306"/>
    </row>
    <row r="8307" spans="1:2">
      <c r="A8307" s="55"/>
      <c r="B8307"/>
    </row>
    <row r="8308" spans="1:2">
      <c r="A8308" s="55"/>
      <c r="B8308"/>
    </row>
    <row r="8309" spans="1:2">
      <c r="A8309" s="55"/>
      <c r="B8309"/>
    </row>
    <row r="8310" spans="1:2">
      <c r="A8310" s="55"/>
      <c r="B8310"/>
    </row>
    <row r="8311" spans="1:2">
      <c r="A8311" s="55"/>
      <c r="B8311"/>
    </row>
    <row r="8312" spans="1:2">
      <c r="A8312" s="55"/>
      <c r="B8312"/>
    </row>
    <row r="8313" spans="1:2">
      <c r="A8313" s="55"/>
      <c r="B8313"/>
    </row>
    <row r="8314" spans="1:2">
      <c r="A8314" s="55"/>
      <c r="B8314"/>
    </row>
    <row r="8315" spans="1:2">
      <c r="A8315" s="55"/>
      <c r="B8315"/>
    </row>
    <row r="8316" spans="1:2">
      <c r="A8316" s="55"/>
      <c r="B8316"/>
    </row>
    <row r="8317" spans="1:2">
      <c r="A8317" s="55"/>
      <c r="B8317"/>
    </row>
    <row r="8318" spans="1:2">
      <c r="A8318" s="55"/>
      <c r="B8318"/>
    </row>
    <row r="8319" spans="1:2">
      <c r="A8319" s="55"/>
      <c r="B8319"/>
    </row>
    <row r="8320" spans="1:2">
      <c r="A8320" s="55"/>
      <c r="B8320"/>
    </row>
    <row r="8321" spans="1:2">
      <c r="A8321" s="55"/>
      <c r="B8321"/>
    </row>
    <row r="8322" spans="1:2">
      <c r="A8322" s="55"/>
      <c r="B8322"/>
    </row>
    <row r="8323" spans="1:2">
      <c r="A8323" s="55"/>
      <c r="B8323"/>
    </row>
    <row r="8324" spans="1:2">
      <c r="A8324" s="55"/>
      <c r="B8324"/>
    </row>
    <row r="8325" spans="1:2">
      <c r="A8325" s="55"/>
      <c r="B8325"/>
    </row>
    <row r="8326" spans="1:2">
      <c r="A8326" s="55"/>
      <c r="B8326"/>
    </row>
    <row r="8327" spans="1:2">
      <c r="A8327" s="55"/>
      <c r="B8327"/>
    </row>
    <row r="8328" spans="1:2">
      <c r="A8328" s="55"/>
      <c r="B8328"/>
    </row>
    <row r="8329" spans="1:2">
      <c r="A8329" s="55"/>
      <c r="B8329"/>
    </row>
    <row r="8330" spans="1:2">
      <c r="A8330" s="55"/>
      <c r="B8330"/>
    </row>
    <row r="8331" spans="1:2">
      <c r="A8331" s="55"/>
      <c r="B8331"/>
    </row>
    <row r="8332" spans="1:2">
      <c r="A8332" s="55"/>
      <c r="B8332"/>
    </row>
    <row r="8333" spans="1:2">
      <c r="A8333" s="55"/>
      <c r="B8333"/>
    </row>
    <row r="8334" spans="1:2">
      <c r="A8334" s="55"/>
      <c r="B8334"/>
    </row>
    <row r="8335" spans="1:2">
      <c r="A8335" s="55"/>
      <c r="B8335"/>
    </row>
    <row r="8336" spans="1:2">
      <c r="A8336" s="55"/>
      <c r="B8336"/>
    </row>
    <row r="8337" spans="1:2">
      <c r="A8337" s="55"/>
      <c r="B8337"/>
    </row>
    <row r="8338" spans="1:2">
      <c r="A8338" s="55"/>
      <c r="B8338"/>
    </row>
    <row r="8339" spans="1:2">
      <c r="A8339" s="55"/>
      <c r="B8339"/>
    </row>
    <row r="8340" spans="1:2">
      <c r="A8340" s="55"/>
      <c r="B8340"/>
    </row>
    <row r="8341" spans="1:2">
      <c r="A8341" s="55"/>
      <c r="B8341"/>
    </row>
    <row r="8342" spans="1:2">
      <c r="A8342" s="55"/>
      <c r="B8342"/>
    </row>
    <row r="8343" spans="1:2">
      <c r="A8343" s="55"/>
      <c r="B8343"/>
    </row>
    <row r="8344" spans="1:2">
      <c r="A8344" s="55"/>
      <c r="B8344"/>
    </row>
    <row r="8345" spans="1:2">
      <c r="A8345" s="55"/>
      <c r="B8345"/>
    </row>
    <row r="8346" spans="1:2">
      <c r="A8346" s="55"/>
      <c r="B8346"/>
    </row>
    <row r="8347" spans="1:2">
      <c r="A8347" s="55"/>
      <c r="B8347"/>
    </row>
    <row r="8348" spans="1:2">
      <c r="A8348" s="55"/>
      <c r="B8348"/>
    </row>
    <row r="8349" spans="1:2">
      <c r="A8349" s="55"/>
      <c r="B8349"/>
    </row>
    <row r="8350" spans="1:2">
      <c r="A8350" s="55"/>
      <c r="B8350"/>
    </row>
    <row r="8351" spans="1:2">
      <c r="A8351" s="55"/>
      <c r="B8351"/>
    </row>
    <row r="8352" spans="1:2">
      <c r="A8352" s="55"/>
      <c r="B8352"/>
    </row>
    <row r="8353" spans="1:2">
      <c r="A8353" s="55"/>
      <c r="B8353"/>
    </row>
    <row r="8354" spans="1:2">
      <c r="A8354" s="55"/>
      <c r="B8354"/>
    </row>
    <row r="8355" spans="1:2">
      <c r="A8355" s="55"/>
      <c r="B8355"/>
    </row>
    <row r="8356" spans="1:2">
      <c r="A8356" s="55"/>
      <c r="B8356"/>
    </row>
    <row r="8357" spans="1:2">
      <c r="A8357" s="55"/>
      <c r="B8357"/>
    </row>
    <row r="8358" spans="1:2">
      <c r="A8358" s="55"/>
      <c r="B8358"/>
    </row>
    <row r="8359" spans="1:2">
      <c r="A8359" s="55"/>
      <c r="B8359"/>
    </row>
    <row r="8360" spans="1:2">
      <c r="A8360" s="55"/>
      <c r="B8360"/>
    </row>
    <row r="8361" spans="1:2">
      <c r="A8361" s="55"/>
      <c r="B8361"/>
    </row>
    <row r="8362" spans="1:2">
      <c r="A8362" s="55"/>
      <c r="B8362"/>
    </row>
    <row r="8363" spans="1:2">
      <c r="A8363" s="55"/>
      <c r="B8363"/>
    </row>
    <row r="8364" spans="1:2">
      <c r="A8364" s="55"/>
      <c r="B8364"/>
    </row>
    <row r="8365" spans="1:2">
      <c r="A8365" s="55"/>
      <c r="B8365"/>
    </row>
    <row r="8366" spans="1:2">
      <c r="A8366" s="55"/>
      <c r="B8366"/>
    </row>
    <row r="8367" spans="1:2">
      <c r="A8367" s="55"/>
      <c r="B8367"/>
    </row>
    <row r="8368" spans="1:2">
      <c r="A8368" s="55"/>
      <c r="B8368"/>
    </row>
    <row r="8369" spans="1:2">
      <c r="A8369" s="55"/>
      <c r="B8369"/>
    </row>
    <row r="8370" spans="1:2">
      <c r="A8370" s="55"/>
      <c r="B8370"/>
    </row>
    <row r="8371" spans="1:2">
      <c r="A8371" s="55"/>
      <c r="B8371"/>
    </row>
    <row r="8372" spans="1:2">
      <c r="A8372" s="55"/>
      <c r="B8372"/>
    </row>
    <row r="8373" spans="1:2">
      <c r="A8373" s="55"/>
      <c r="B8373"/>
    </row>
    <row r="8374" spans="1:2">
      <c r="A8374" s="55"/>
      <c r="B8374"/>
    </row>
    <row r="8375" spans="1:2">
      <c r="A8375" s="55"/>
      <c r="B8375"/>
    </row>
    <row r="8376" spans="1:2">
      <c r="A8376" s="55"/>
      <c r="B8376"/>
    </row>
    <row r="8377" spans="1:2">
      <c r="A8377" s="55"/>
      <c r="B8377"/>
    </row>
    <row r="8378" spans="1:2">
      <c r="A8378" s="55"/>
      <c r="B8378"/>
    </row>
    <row r="8379" spans="1:2">
      <c r="A8379" s="55"/>
      <c r="B8379"/>
    </row>
    <row r="8380" spans="1:2">
      <c r="A8380" s="55"/>
      <c r="B8380"/>
    </row>
    <row r="8381" spans="1:2">
      <c r="A8381" s="55"/>
      <c r="B8381"/>
    </row>
    <row r="8382" spans="1:2">
      <c r="A8382" s="55"/>
      <c r="B8382"/>
    </row>
    <row r="8383" spans="1:2">
      <c r="A8383" s="55"/>
      <c r="B8383"/>
    </row>
    <row r="8384" spans="1:2">
      <c r="A8384" s="55"/>
      <c r="B8384"/>
    </row>
    <row r="8385" spans="1:2">
      <c r="A8385" s="55"/>
      <c r="B8385"/>
    </row>
    <row r="8386" spans="1:2">
      <c r="A8386" s="55"/>
      <c r="B8386"/>
    </row>
    <row r="8387" spans="1:2">
      <c r="A8387" s="55"/>
      <c r="B8387"/>
    </row>
    <row r="8388" spans="1:2">
      <c r="A8388" s="55"/>
      <c r="B8388"/>
    </row>
    <row r="8389" spans="1:2">
      <c r="A8389" s="55"/>
      <c r="B8389"/>
    </row>
    <row r="8390" spans="1:2">
      <c r="A8390" s="55"/>
      <c r="B8390"/>
    </row>
    <row r="8391" spans="1:2">
      <c r="A8391" s="55"/>
      <c r="B8391"/>
    </row>
    <row r="8392" spans="1:2">
      <c r="A8392" s="55"/>
      <c r="B8392"/>
    </row>
    <row r="8393" spans="1:2">
      <c r="A8393" s="55"/>
      <c r="B8393"/>
    </row>
    <row r="8394" spans="1:2">
      <c r="A8394" s="55"/>
      <c r="B8394"/>
    </row>
    <row r="8395" spans="1:2">
      <c r="A8395" s="55"/>
      <c r="B8395"/>
    </row>
    <row r="8396" spans="1:2">
      <c r="A8396" s="55"/>
      <c r="B8396"/>
    </row>
    <row r="8397" spans="1:2">
      <c r="A8397" s="55"/>
      <c r="B8397"/>
    </row>
    <row r="8398" spans="1:2">
      <c r="A8398" s="55"/>
      <c r="B8398"/>
    </row>
    <row r="8399" spans="1:2">
      <c r="A8399" s="55"/>
      <c r="B8399"/>
    </row>
    <row r="8400" spans="1:2">
      <c r="A8400" s="55"/>
      <c r="B8400"/>
    </row>
    <row r="8401" spans="1:2">
      <c r="A8401" s="55"/>
      <c r="B8401"/>
    </row>
    <row r="8402" spans="1:2">
      <c r="A8402" s="55"/>
      <c r="B8402"/>
    </row>
    <row r="8403" spans="1:2">
      <c r="A8403" s="55"/>
      <c r="B8403"/>
    </row>
    <row r="8404" spans="1:2">
      <c r="A8404" s="55"/>
      <c r="B8404"/>
    </row>
    <row r="8405" spans="1:2">
      <c r="A8405" s="55"/>
      <c r="B8405"/>
    </row>
    <row r="8406" spans="1:2">
      <c r="A8406" s="55"/>
      <c r="B8406"/>
    </row>
    <row r="8407" spans="1:2">
      <c r="A8407" s="55"/>
      <c r="B8407"/>
    </row>
    <row r="8408" spans="1:2">
      <c r="A8408" s="55"/>
      <c r="B8408"/>
    </row>
    <row r="8409" spans="1:2">
      <c r="A8409" s="55"/>
      <c r="B8409"/>
    </row>
    <row r="8410" spans="1:2">
      <c r="A8410" s="55"/>
      <c r="B8410"/>
    </row>
    <row r="8411" spans="1:2">
      <c r="A8411" s="55"/>
      <c r="B8411"/>
    </row>
    <row r="8412" spans="1:2">
      <c r="A8412" s="55"/>
      <c r="B8412"/>
    </row>
    <row r="8413" spans="1:2">
      <c r="A8413" s="55"/>
      <c r="B8413"/>
    </row>
    <row r="8414" spans="1:2">
      <c r="A8414" s="55"/>
      <c r="B8414"/>
    </row>
    <row r="8415" spans="1:2">
      <c r="A8415" s="55"/>
      <c r="B8415"/>
    </row>
    <row r="8416" spans="1:2">
      <c r="A8416" s="55"/>
      <c r="B8416"/>
    </row>
    <row r="8417" spans="1:2">
      <c r="A8417" s="55"/>
      <c r="B8417"/>
    </row>
    <row r="8418" spans="1:2">
      <c r="A8418" s="55"/>
      <c r="B8418"/>
    </row>
    <row r="8419" spans="1:2">
      <c r="A8419" s="55"/>
      <c r="B8419"/>
    </row>
    <row r="8420" spans="1:2">
      <c r="A8420" s="55"/>
      <c r="B8420"/>
    </row>
    <row r="8421" spans="1:2">
      <c r="A8421" s="55"/>
      <c r="B8421"/>
    </row>
    <row r="8422" spans="1:2">
      <c r="A8422" s="55"/>
      <c r="B8422"/>
    </row>
    <row r="8423" spans="1:2">
      <c r="A8423" s="55"/>
      <c r="B8423"/>
    </row>
    <row r="8424" spans="1:2">
      <c r="A8424" s="55"/>
      <c r="B8424"/>
    </row>
    <row r="8425" spans="1:2">
      <c r="A8425" s="55"/>
      <c r="B8425"/>
    </row>
    <row r="8426" spans="1:2">
      <c r="A8426" s="55"/>
      <c r="B8426"/>
    </row>
    <row r="8427" spans="1:2">
      <c r="A8427" s="55"/>
      <c r="B8427"/>
    </row>
    <row r="8428" spans="1:2">
      <c r="A8428" s="55"/>
      <c r="B8428"/>
    </row>
    <row r="8429" spans="1:2">
      <c r="A8429" s="55"/>
      <c r="B8429"/>
    </row>
    <row r="8430" spans="1:2">
      <c r="A8430" s="55"/>
      <c r="B8430"/>
    </row>
    <row r="8431" spans="1:2">
      <c r="A8431" s="55"/>
      <c r="B8431"/>
    </row>
    <row r="8432" spans="1:2">
      <c r="A8432" s="55"/>
      <c r="B8432"/>
    </row>
    <row r="8433" spans="1:2">
      <c r="A8433" s="55"/>
      <c r="B8433"/>
    </row>
    <row r="8434" spans="1:2">
      <c r="A8434" s="55"/>
      <c r="B8434"/>
    </row>
    <row r="8435" spans="1:2">
      <c r="A8435" s="55"/>
      <c r="B8435"/>
    </row>
    <row r="8436" spans="1:2">
      <c r="A8436" s="55"/>
      <c r="B8436"/>
    </row>
    <row r="8437" spans="1:2">
      <c r="A8437" s="55"/>
      <c r="B8437"/>
    </row>
    <row r="8438" spans="1:2">
      <c r="A8438" s="55"/>
      <c r="B8438"/>
    </row>
    <row r="8439" spans="1:2">
      <c r="A8439" s="55"/>
      <c r="B8439"/>
    </row>
    <row r="8440" spans="1:2">
      <c r="A8440" s="55"/>
      <c r="B8440"/>
    </row>
    <row r="8441" spans="1:2">
      <c r="A8441" s="55"/>
      <c r="B8441"/>
    </row>
    <row r="8442" spans="1:2">
      <c r="A8442" s="55"/>
      <c r="B8442"/>
    </row>
    <row r="8443" spans="1:2">
      <c r="A8443" s="55"/>
      <c r="B8443"/>
    </row>
    <row r="8444" spans="1:2">
      <c r="A8444" s="55"/>
      <c r="B8444"/>
    </row>
    <row r="8445" spans="1:2">
      <c r="A8445" s="55"/>
      <c r="B8445"/>
    </row>
    <row r="8446" spans="1:2">
      <c r="A8446" s="55"/>
      <c r="B8446"/>
    </row>
    <row r="8447" spans="1:2">
      <c r="A8447" s="55"/>
      <c r="B8447"/>
    </row>
    <row r="8448" spans="1:2">
      <c r="A8448" s="55"/>
      <c r="B8448"/>
    </row>
    <row r="8449" spans="1:2">
      <c r="A8449" s="55"/>
      <c r="B8449"/>
    </row>
    <row r="8450" spans="1:2">
      <c r="A8450" s="55"/>
      <c r="B8450"/>
    </row>
    <row r="8451" spans="1:2">
      <c r="A8451" s="55"/>
      <c r="B8451"/>
    </row>
    <row r="8452" spans="1:2">
      <c r="A8452" s="55"/>
      <c r="B8452"/>
    </row>
    <row r="8453" spans="1:2">
      <c r="A8453" s="55"/>
      <c r="B8453"/>
    </row>
    <row r="8454" spans="1:2">
      <c r="A8454" s="55"/>
      <c r="B8454"/>
    </row>
    <row r="8455" spans="1:2">
      <c r="A8455" s="55"/>
      <c r="B8455"/>
    </row>
    <row r="8456" spans="1:2">
      <c r="A8456" s="55"/>
      <c r="B8456"/>
    </row>
    <row r="8457" spans="1:2">
      <c r="A8457" s="55"/>
      <c r="B8457"/>
    </row>
    <row r="8458" spans="1:2">
      <c r="A8458" s="55"/>
      <c r="B8458"/>
    </row>
    <row r="8459" spans="1:2">
      <c r="A8459" s="55"/>
      <c r="B8459"/>
    </row>
    <row r="8460" spans="1:2">
      <c r="A8460" s="55"/>
      <c r="B8460"/>
    </row>
    <row r="8461" spans="1:2">
      <c r="A8461" s="55"/>
      <c r="B8461"/>
    </row>
    <row r="8462" spans="1:2">
      <c r="A8462" s="55"/>
      <c r="B8462"/>
    </row>
    <row r="8463" spans="1:2">
      <c r="A8463" s="55"/>
      <c r="B8463"/>
    </row>
    <row r="8464" spans="1:2">
      <c r="A8464" s="55"/>
      <c r="B8464"/>
    </row>
    <row r="8465" spans="1:2">
      <c r="A8465" s="55"/>
      <c r="B8465"/>
    </row>
    <row r="8466" spans="1:2">
      <c r="A8466" s="55"/>
      <c r="B8466"/>
    </row>
    <row r="8467" spans="1:2">
      <c r="A8467" s="55"/>
      <c r="B8467"/>
    </row>
    <row r="8468" spans="1:2">
      <c r="A8468" s="55"/>
      <c r="B8468"/>
    </row>
    <row r="8469" spans="1:2">
      <c r="A8469" s="55"/>
      <c r="B8469"/>
    </row>
    <row r="8470" spans="1:2">
      <c r="A8470" s="55"/>
      <c r="B8470"/>
    </row>
    <row r="8471" spans="1:2">
      <c r="A8471" s="55"/>
      <c r="B8471"/>
    </row>
    <row r="8472" spans="1:2">
      <c r="A8472" s="55"/>
      <c r="B8472"/>
    </row>
    <row r="8473" spans="1:2">
      <c r="A8473" s="55"/>
      <c r="B8473"/>
    </row>
    <row r="8474" spans="1:2">
      <c r="A8474" s="55"/>
      <c r="B8474"/>
    </row>
    <row r="8475" spans="1:2">
      <c r="A8475" s="55"/>
      <c r="B8475"/>
    </row>
    <row r="8476" spans="1:2">
      <c r="A8476" s="55"/>
      <c r="B8476"/>
    </row>
    <row r="8477" spans="1:2">
      <c r="A8477" s="55"/>
      <c r="B8477"/>
    </row>
    <row r="8478" spans="1:2">
      <c r="A8478" s="55"/>
      <c r="B8478"/>
    </row>
    <row r="8479" spans="1:2">
      <c r="A8479" s="55"/>
      <c r="B8479"/>
    </row>
    <row r="8480" spans="1:2">
      <c r="A8480" s="55"/>
      <c r="B8480"/>
    </row>
    <row r="8481" spans="1:2">
      <c r="A8481" s="55"/>
      <c r="B8481"/>
    </row>
    <row r="8482" spans="1:2">
      <c r="A8482" s="55"/>
      <c r="B8482"/>
    </row>
    <row r="8483" spans="1:2">
      <c r="A8483" s="55"/>
      <c r="B8483"/>
    </row>
    <row r="8484" spans="1:2">
      <c r="A8484" s="55"/>
      <c r="B8484"/>
    </row>
    <row r="8485" spans="1:2">
      <c r="A8485" s="55"/>
      <c r="B8485"/>
    </row>
    <row r="8486" spans="1:2">
      <c r="A8486" s="55"/>
      <c r="B8486"/>
    </row>
    <row r="8487" spans="1:2">
      <c r="A8487" s="55"/>
      <c r="B8487"/>
    </row>
    <row r="8488" spans="1:2">
      <c r="A8488" s="55"/>
      <c r="B8488"/>
    </row>
    <row r="8489" spans="1:2">
      <c r="A8489" s="55"/>
      <c r="B8489"/>
    </row>
    <row r="8490" spans="1:2">
      <c r="A8490" s="55"/>
      <c r="B8490"/>
    </row>
    <row r="8491" spans="1:2">
      <c r="A8491" s="55"/>
      <c r="B8491"/>
    </row>
    <row r="8492" spans="1:2">
      <c r="A8492" s="55"/>
      <c r="B8492"/>
    </row>
    <row r="8493" spans="1:2">
      <c r="A8493" s="55"/>
      <c r="B8493"/>
    </row>
    <row r="8494" spans="1:2">
      <c r="A8494" s="55"/>
      <c r="B8494"/>
    </row>
    <row r="8495" spans="1:2">
      <c r="A8495" s="55"/>
      <c r="B8495"/>
    </row>
    <row r="8496" spans="1:2">
      <c r="A8496" s="55"/>
      <c r="B8496"/>
    </row>
    <row r="8497" spans="1:2">
      <c r="A8497" s="55"/>
      <c r="B8497"/>
    </row>
    <row r="8498" spans="1:2">
      <c r="A8498" s="55"/>
      <c r="B8498"/>
    </row>
    <row r="8499" spans="1:2">
      <c r="A8499" s="55"/>
      <c r="B8499"/>
    </row>
    <row r="8500" spans="1:2">
      <c r="A8500" s="55"/>
      <c r="B8500"/>
    </row>
    <row r="8501" spans="1:2">
      <c r="A8501" s="55"/>
      <c r="B8501"/>
    </row>
    <row r="8502" spans="1:2">
      <c r="A8502" s="55"/>
      <c r="B8502"/>
    </row>
    <row r="8503" spans="1:2">
      <c r="A8503" s="55"/>
      <c r="B8503"/>
    </row>
    <row r="8504" spans="1:2">
      <c r="A8504" s="55"/>
      <c r="B8504"/>
    </row>
    <row r="8505" spans="1:2">
      <c r="A8505" s="55"/>
      <c r="B8505"/>
    </row>
    <row r="8506" spans="1:2">
      <c r="A8506" s="55"/>
      <c r="B8506"/>
    </row>
    <row r="8507" spans="1:2">
      <c r="A8507" s="55"/>
      <c r="B8507"/>
    </row>
    <row r="8508" spans="1:2">
      <c r="A8508" s="55"/>
      <c r="B8508"/>
    </row>
    <row r="8509" spans="1:2">
      <c r="A8509" s="55"/>
      <c r="B8509"/>
    </row>
    <row r="8510" spans="1:2">
      <c r="A8510" s="55"/>
      <c r="B8510"/>
    </row>
    <row r="8511" spans="1:2">
      <c r="A8511" s="55"/>
      <c r="B8511"/>
    </row>
    <row r="8512" spans="1:2">
      <c r="A8512" s="55"/>
      <c r="B8512"/>
    </row>
    <row r="8513" spans="1:2">
      <c r="A8513" s="55"/>
      <c r="B8513"/>
    </row>
    <row r="8514" spans="1:2">
      <c r="A8514" s="55"/>
      <c r="B8514"/>
    </row>
    <row r="8515" spans="1:2">
      <c r="A8515" s="55"/>
      <c r="B8515"/>
    </row>
    <row r="8516" spans="1:2">
      <c r="A8516" s="55"/>
      <c r="B8516"/>
    </row>
    <row r="8517" spans="1:2">
      <c r="A8517" s="55"/>
      <c r="B8517"/>
    </row>
    <row r="8518" spans="1:2">
      <c r="A8518" s="55"/>
      <c r="B8518"/>
    </row>
    <row r="8519" spans="1:2">
      <c r="A8519" s="55"/>
      <c r="B8519"/>
    </row>
    <row r="8520" spans="1:2">
      <c r="A8520" s="55"/>
      <c r="B8520"/>
    </row>
    <row r="8521" spans="1:2">
      <c r="A8521" s="55"/>
      <c r="B8521"/>
    </row>
    <row r="8522" spans="1:2">
      <c r="A8522" s="55"/>
      <c r="B8522"/>
    </row>
    <row r="8523" spans="1:2">
      <c r="A8523" s="55"/>
      <c r="B8523"/>
    </row>
    <row r="8524" spans="1:2">
      <c r="A8524" s="55"/>
      <c r="B8524"/>
    </row>
    <row r="8525" spans="1:2">
      <c r="A8525" s="55"/>
      <c r="B8525"/>
    </row>
    <row r="8526" spans="1:2">
      <c r="A8526" s="55"/>
      <c r="B8526"/>
    </row>
    <row r="8527" spans="1:2">
      <c r="A8527" s="55"/>
      <c r="B8527"/>
    </row>
    <row r="8528" spans="1:2">
      <c r="A8528" s="55"/>
      <c r="B8528"/>
    </row>
    <row r="8529" spans="1:2">
      <c r="A8529" s="55"/>
      <c r="B8529"/>
    </row>
    <row r="8530" spans="1:2">
      <c r="A8530" s="55"/>
      <c r="B8530"/>
    </row>
    <row r="8531" spans="1:2">
      <c r="A8531" s="55"/>
      <c r="B8531"/>
    </row>
    <row r="8532" spans="1:2">
      <c r="A8532" s="55"/>
      <c r="B8532"/>
    </row>
    <row r="8533" spans="1:2">
      <c r="A8533" s="55"/>
      <c r="B8533"/>
    </row>
    <row r="8534" spans="1:2">
      <c r="A8534" s="55"/>
      <c r="B8534"/>
    </row>
    <row r="8535" spans="1:2">
      <c r="A8535" s="55"/>
      <c r="B8535"/>
    </row>
    <row r="8536" spans="1:2">
      <c r="A8536" s="55"/>
      <c r="B8536"/>
    </row>
    <row r="8537" spans="1:2">
      <c r="A8537" s="55"/>
      <c r="B8537"/>
    </row>
    <row r="8538" spans="1:2">
      <c r="A8538" s="55"/>
      <c r="B8538"/>
    </row>
    <row r="8539" spans="1:2">
      <c r="A8539" s="55"/>
      <c r="B8539"/>
    </row>
    <row r="8540" spans="1:2">
      <c r="A8540" s="55"/>
      <c r="B8540"/>
    </row>
    <row r="8541" spans="1:2">
      <c r="A8541" s="55"/>
      <c r="B8541"/>
    </row>
    <row r="8542" spans="1:2">
      <c r="A8542" s="55"/>
      <c r="B8542"/>
    </row>
    <row r="8543" spans="1:2">
      <c r="A8543" s="55"/>
      <c r="B8543"/>
    </row>
    <row r="8544" spans="1:2">
      <c r="A8544" s="55"/>
      <c r="B8544"/>
    </row>
    <row r="8545" spans="1:2">
      <c r="A8545" s="55"/>
      <c r="B8545"/>
    </row>
    <row r="8546" spans="1:2">
      <c r="A8546" s="55"/>
      <c r="B8546"/>
    </row>
    <row r="8547" spans="1:2">
      <c r="A8547" s="55"/>
      <c r="B8547"/>
    </row>
    <row r="8548" spans="1:2">
      <c r="A8548" s="55"/>
      <c r="B8548"/>
    </row>
    <row r="8549" spans="1:2">
      <c r="A8549" s="55"/>
      <c r="B8549"/>
    </row>
    <row r="8550" spans="1:2">
      <c r="A8550" s="55"/>
      <c r="B8550"/>
    </row>
    <row r="8551" spans="1:2">
      <c r="A8551" s="55"/>
      <c r="B8551"/>
    </row>
    <row r="8552" spans="1:2">
      <c r="A8552" s="55"/>
      <c r="B8552"/>
    </row>
    <row r="8553" spans="1:2">
      <c r="A8553" s="55"/>
      <c r="B8553"/>
    </row>
    <row r="8554" spans="1:2">
      <c r="A8554" s="55"/>
      <c r="B8554"/>
    </row>
    <row r="8555" spans="1:2">
      <c r="A8555" s="55"/>
      <c r="B8555"/>
    </row>
    <row r="8556" spans="1:2">
      <c r="A8556" s="55"/>
      <c r="B8556"/>
    </row>
    <row r="8557" spans="1:2">
      <c r="A8557" s="55"/>
      <c r="B8557"/>
    </row>
    <row r="8558" spans="1:2">
      <c r="A8558" s="55"/>
      <c r="B8558"/>
    </row>
    <row r="8559" spans="1:2">
      <c r="A8559" s="55"/>
      <c r="B8559"/>
    </row>
    <row r="8560" spans="1:2">
      <c r="A8560" s="55"/>
      <c r="B8560"/>
    </row>
    <row r="8561" spans="1:2">
      <c r="A8561" s="55"/>
      <c r="B8561"/>
    </row>
    <row r="8562" spans="1:2">
      <c r="A8562" s="55"/>
      <c r="B8562"/>
    </row>
    <row r="8563" spans="1:2">
      <c r="A8563" s="55"/>
      <c r="B8563"/>
    </row>
    <row r="8564" spans="1:2">
      <c r="A8564" s="55"/>
      <c r="B8564"/>
    </row>
    <row r="8565" spans="1:2">
      <c r="A8565" s="55"/>
      <c r="B8565"/>
    </row>
    <row r="8566" spans="1:2">
      <c r="A8566" s="55"/>
      <c r="B8566"/>
    </row>
    <row r="8567" spans="1:2">
      <c r="A8567" s="55"/>
      <c r="B8567"/>
    </row>
    <row r="8568" spans="1:2">
      <c r="A8568" s="55"/>
      <c r="B8568"/>
    </row>
    <row r="8569" spans="1:2">
      <c r="A8569" s="55"/>
      <c r="B8569"/>
    </row>
    <row r="8570" spans="1:2">
      <c r="A8570" s="55"/>
      <c r="B8570"/>
    </row>
    <row r="8571" spans="1:2">
      <c r="A8571" s="55"/>
      <c r="B8571"/>
    </row>
    <row r="8572" spans="1:2">
      <c r="A8572" s="55"/>
      <c r="B8572"/>
    </row>
    <row r="8573" spans="1:2">
      <c r="A8573" s="55"/>
      <c r="B8573"/>
    </row>
    <row r="8574" spans="1:2">
      <c r="A8574" s="55"/>
      <c r="B8574"/>
    </row>
    <row r="8575" spans="1:2">
      <c r="A8575" s="55"/>
      <c r="B8575"/>
    </row>
    <row r="8576" spans="1:2">
      <c r="A8576" s="55"/>
      <c r="B8576"/>
    </row>
    <row r="8577" spans="1:2">
      <c r="A8577" s="55"/>
      <c r="B8577"/>
    </row>
    <row r="8578" spans="1:2">
      <c r="A8578" s="55"/>
      <c r="B8578"/>
    </row>
    <row r="8579" spans="1:2">
      <c r="A8579" s="55"/>
      <c r="B8579"/>
    </row>
    <row r="8580" spans="1:2">
      <c r="A8580" s="55"/>
      <c r="B8580"/>
    </row>
    <row r="8581" spans="1:2">
      <c r="A8581" s="55"/>
      <c r="B8581"/>
    </row>
    <row r="8582" spans="1:2">
      <c r="A8582" s="55"/>
      <c r="B8582"/>
    </row>
    <row r="8583" spans="1:2">
      <c r="A8583" s="55"/>
      <c r="B8583"/>
    </row>
    <row r="8584" spans="1:2">
      <c r="A8584" s="55"/>
      <c r="B8584"/>
    </row>
    <row r="8585" spans="1:2">
      <c r="A8585" s="55"/>
      <c r="B8585"/>
    </row>
    <row r="8586" spans="1:2">
      <c r="A8586" s="55"/>
      <c r="B8586"/>
    </row>
    <row r="8587" spans="1:2">
      <c r="A8587" s="55"/>
      <c r="B8587"/>
    </row>
    <row r="8588" spans="1:2">
      <c r="A8588" s="55"/>
      <c r="B8588"/>
    </row>
    <row r="8589" spans="1:2">
      <c r="A8589" s="55"/>
      <c r="B8589"/>
    </row>
    <row r="8590" spans="1:2">
      <c r="A8590" s="55"/>
      <c r="B8590"/>
    </row>
    <row r="8591" spans="1:2">
      <c r="A8591" s="55"/>
      <c r="B8591"/>
    </row>
    <row r="8592" spans="1:2">
      <c r="A8592" s="55"/>
      <c r="B8592"/>
    </row>
    <row r="8593" spans="1:2">
      <c r="A8593" s="55"/>
      <c r="B8593"/>
    </row>
    <row r="8594" spans="1:2">
      <c r="A8594" s="55"/>
      <c r="B8594"/>
    </row>
    <row r="8595" spans="1:2">
      <c r="A8595" s="55"/>
      <c r="B8595"/>
    </row>
    <row r="8596" spans="1:2">
      <c r="A8596" s="55"/>
      <c r="B8596"/>
    </row>
    <row r="8597" spans="1:2">
      <c r="A8597" s="55"/>
      <c r="B8597"/>
    </row>
    <row r="8598" spans="1:2">
      <c r="A8598" s="55"/>
      <c r="B8598"/>
    </row>
    <row r="8599" spans="1:2">
      <c r="A8599" s="55"/>
      <c r="B8599"/>
    </row>
    <row r="8600" spans="1:2">
      <c r="A8600" s="55"/>
      <c r="B8600"/>
    </row>
    <row r="8601" spans="1:2">
      <c r="A8601" s="55"/>
      <c r="B8601"/>
    </row>
    <row r="8602" spans="1:2">
      <c r="A8602" s="55"/>
      <c r="B8602"/>
    </row>
    <row r="8603" spans="1:2">
      <c r="A8603" s="55"/>
      <c r="B8603"/>
    </row>
    <row r="8604" spans="1:2">
      <c r="A8604" s="55"/>
      <c r="B8604"/>
    </row>
    <row r="8605" spans="1:2">
      <c r="A8605" s="55"/>
      <c r="B8605"/>
    </row>
    <row r="8606" spans="1:2">
      <c r="A8606" s="55"/>
      <c r="B8606"/>
    </row>
    <row r="8607" spans="1:2">
      <c r="A8607" s="55"/>
      <c r="B8607"/>
    </row>
    <row r="8608" spans="1:2">
      <c r="A8608" s="55"/>
      <c r="B8608"/>
    </row>
    <row r="8609" spans="1:2">
      <c r="A8609" s="55"/>
      <c r="B8609"/>
    </row>
    <row r="8610" spans="1:2">
      <c r="A8610" s="55"/>
      <c r="B8610"/>
    </row>
    <row r="8611" spans="1:2">
      <c r="A8611" s="55"/>
      <c r="B8611"/>
    </row>
    <row r="8612" spans="1:2">
      <c r="A8612" s="55"/>
      <c r="B8612"/>
    </row>
    <row r="8613" spans="1:2">
      <c r="A8613" s="55"/>
      <c r="B8613"/>
    </row>
    <row r="8614" spans="1:2">
      <c r="A8614" s="55"/>
      <c r="B8614"/>
    </row>
    <row r="8615" spans="1:2">
      <c r="A8615" s="55"/>
      <c r="B8615"/>
    </row>
    <row r="8616" spans="1:2">
      <c r="A8616" s="55"/>
      <c r="B8616"/>
    </row>
    <row r="8617" spans="1:2">
      <c r="A8617" s="55"/>
      <c r="B8617"/>
    </row>
    <row r="8618" spans="1:2">
      <c r="A8618" s="55"/>
      <c r="B8618"/>
    </row>
    <row r="8619" spans="1:2">
      <c r="A8619" s="55"/>
      <c r="B8619"/>
    </row>
    <row r="8620" spans="1:2">
      <c r="A8620" s="55"/>
      <c r="B8620"/>
    </row>
    <row r="8621" spans="1:2">
      <c r="A8621" s="55"/>
      <c r="B8621"/>
    </row>
    <row r="8622" spans="1:2">
      <c r="A8622" s="55"/>
      <c r="B8622"/>
    </row>
    <row r="8623" spans="1:2">
      <c r="A8623" s="55"/>
      <c r="B8623"/>
    </row>
    <row r="8624" spans="1:2">
      <c r="A8624" s="55"/>
      <c r="B8624"/>
    </row>
    <row r="8625" spans="1:2">
      <c r="A8625" s="55"/>
      <c r="B8625"/>
    </row>
    <row r="8626" spans="1:2">
      <c r="A8626" s="55"/>
      <c r="B8626"/>
    </row>
    <row r="8627" spans="1:2">
      <c r="A8627" s="55"/>
      <c r="B8627"/>
    </row>
    <row r="8628" spans="1:2">
      <c r="A8628" s="55"/>
      <c r="B8628"/>
    </row>
    <row r="8629" spans="1:2">
      <c r="A8629" s="55"/>
      <c r="B8629"/>
    </row>
    <row r="8630" spans="1:2">
      <c r="A8630" s="55"/>
      <c r="B8630"/>
    </row>
    <row r="8631" spans="1:2">
      <c r="A8631" s="55"/>
      <c r="B8631"/>
    </row>
    <row r="8632" spans="1:2">
      <c r="A8632" s="55"/>
      <c r="B8632"/>
    </row>
    <row r="8633" spans="1:2">
      <c r="A8633" s="55"/>
      <c r="B8633"/>
    </row>
    <row r="8634" spans="1:2">
      <c r="A8634" s="55"/>
      <c r="B8634"/>
    </row>
    <row r="8635" spans="1:2">
      <c r="A8635" s="55"/>
      <c r="B8635"/>
    </row>
    <row r="8636" spans="1:2">
      <c r="A8636" s="55"/>
      <c r="B8636"/>
    </row>
    <row r="8637" spans="1:2">
      <c r="A8637" s="55"/>
      <c r="B8637"/>
    </row>
    <row r="8638" spans="1:2">
      <c r="A8638" s="55"/>
      <c r="B8638"/>
    </row>
    <row r="8639" spans="1:2">
      <c r="A8639" s="55"/>
      <c r="B8639"/>
    </row>
    <row r="8640" spans="1:2">
      <c r="A8640" s="55"/>
      <c r="B8640"/>
    </row>
    <row r="8641" spans="1:2">
      <c r="A8641" s="55"/>
      <c r="B8641"/>
    </row>
    <row r="8642" spans="1:2">
      <c r="A8642" s="55"/>
      <c r="B8642"/>
    </row>
    <row r="8643" spans="1:2">
      <c r="A8643" s="55"/>
      <c r="B8643"/>
    </row>
    <row r="8644" spans="1:2">
      <c r="A8644" s="55"/>
      <c r="B8644"/>
    </row>
    <row r="8645" spans="1:2">
      <c r="A8645" s="55"/>
      <c r="B8645"/>
    </row>
    <row r="8646" spans="1:2">
      <c r="A8646" s="55"/>
      <c r="B8646"/>
    </row>
    <row r="8647" spans="1:2">
      <c r="A8647" s="55"/>
      <c r="B8647"/>
    </row>
    <row r="8648" spans="1:2">
      <c r="A8648" s="55"/>
      <c r="B8648"/>
    </row>
    <row r="8649" spans="1:2">
      <c r="A8649" s="55"/>
      <c r="B8649"/>
    </row>
    <row r="8650" spans="1:2">
      <c r="A8650" s="55"/>
      <c r="B8650"/>
    </row>
    <row r="8651" spans="1:2">
      <c r="A8651" s="55"/>
      <c r="B8651"/>
    </row>
    <row r="8652" spans="1:2">
      <c r="A8652" s="55"/>
      <c r="B8652"/>
    </row>
    <row r="8653" spans="1:2">
      <c r="A8653" s="55"/>
      <c r="B8653"/>
    </row>
    <row r="8654" spans="1:2">
      <c r="A8654" s="55"/>
      <c r="B8654"/>
    </row>
    <row r="8655" spans="1:2">
      <c r="A8655" s="55"/>
      <c r="B8655"/>
    </row>
    <row r="8656" spans="1:2">
      <c r="A8656" s="55"/>
      <c r="B8656"/>
    </row>
    <row r="8657" spans="1:2">
      <c r="A8657" s="55"/>
      <c r="B8657"/>
    </row>
    <row r="8658" spans="1:2">
      <c r="A8658" s="55"/>
      <c r="B8658"/>
    </row>
    <row r="8659" spans="1:2">
      <c r="A8659" s="55"/>
      <c r="B8659"/>
    </row>
    <row r="8660" spans="1:2">
      <c r="A8660" s="55"/>
      <c r="B8660"/>
    </row>
    <row r="8661" spans="1:2">
      <c r="A8661" s="55"/>
      <c r="B8661"/>
    </row>
    <row r="8662" spans="1:2">
      <c r="A8662" s="55"/>
      <c r="B8662"/>
    </row>
    <row r="8663" spans="1:2">
      <c r="A8663" s="55"/>
      <c r="B8663"/>
    </row>
    <row r="8664" spans="1:2">
      <c r="A8664" s="55"/>
      <c r="B8664"/>
    </row>
    <row r="8665" spans="1:2">
      <c r="A8665" s="55"/>
      <c r="B8665"/>
    </row>
    <row r="8666" spans="1:2">
      <c r="A8666" s="55"/>
      <c r="B8666"/>
    </row>
    <row r="8667" spans="1:2">
      <c r="A8667" s="55"/>
      <c r="B8667"/>
    </row>
    <row r="8668" spans="1:2">
      <c r="A8668" s="55"/>
      <c r="B8668"/>
    </row>
    <row r="8669" spans="1:2">
      <c r="A8669" s="55"/>
      <c r="B8669"/>
    </row>
    <row r="8670" spans="1:2">
      <c r="A8670" s="55"/>
      <c r="B8670"/>
    </row>
    <row r="8671" spans="1:2">
      <c r="A8671" s="55"/>
      <c r="B8671"/>
    </row>
    <row r="8672" spans="1:2">
      <c r="A8672" s="55"/>
      <c r="B8672"/>
    </row>
    <row r="8673" spans="1:2">
      <c r="A8673" s="55"/>
      <c r="B8673"/>
    </row>
    <row r="8674" spans="1:2">
      <c r="A8674" s="55"/>
      <c r="B8674"/>
    </row>
    <row r="8675" spans="1:2">
      <c r="A8675" s="55"/>
      <c r="B8675"/>
    </row>
    <row r="8676" spans="1:2">
      <c r="A8676" s="55"/>
      <c r="B8676"/>
    </row>
    <row r="8677" spans="1:2">
      <c r="A8677" s="55"/>
      <c r="B8677"/>
    </row>
    <row r="8678" spans="1:2">
      <c r="A8678" s="55"/>
      <c r="B8678"/>
    </row>
    <row r="8679" spans="1:2">
      <c r="A8679" s="55"/>
      <c r="B8679"/>
    </row>
    <row r="8680" spans="1:2">
      <c r="A8680" s="55"/>
      <c r="B8680"/>
    </row>
    <row r="8681" spans="1:2">
      <c r="A8681" s="55"/>
      <c r="B8681"/>
    </row>
    <row r="8682" spans="1:2">
      <c r="A8682" s="55"/>
      <c r="B8682"/>
    </row>
    <row r="8683" spans="1:2">
      <c r="A8683" s="55"/>
      <c r="B8683"/>
    </row>
    <row r="8684" spans="1:2">
      <c r="A8684" s="55"/>
      <c r="B8684"/>
    </row>
    <row r="8685" spans="1:2">
      <c r="A8685" s="55"/>
      <c r="B8685"/>
    </row>
    <row r="8686" spans="1:2">
      <c r="A8686" s="55"/>
      <c r="B8686"/>
    </row>
    <row r="8687" spans="1:2">
      <c r="A8687" s="55"/>
      <c r="B8687"/>
    </row>
    <row r="8688" spans="1:2">
      <c r="A8688" s="55"/>
      <c r="B8688"/>
    </row>
    <row r="8689" spans="1:2">
      <c r="A8689" s="55"/>
      <c r="B8689"/>
    </row>
    <row r="8690" spans="1:2">
      <c r="A8690" s="55"/>
      <c r="B8690"/>
    </row>
    <row r="8691" spans="1:2">
      <c r="A8691" s="55"/>
      <c r="B8691"/>
    </row>
    <row r="8692" spans="1:2">
      <c r="A8692" s="55"/>
      <c r="B8692"/>
    </row>
    <row r="8693" spans="1:2">
      <c r="A8693" s="55"/>
      <c r="B8693"/>
    </row>
    <row r="8694" spans="1:2">
      <c r="A8694" s="55"/>
      <c r="B8694"/>
    </row>
    <row r="8695" spans="1:2">
      <c r="A8695" s="55"/>
      <c r="B8695"/>
    </row>
    <row r="8696" spans="1:2">
      <c r="A8696" s="55"/>
      <c r="B8696"/>
    </row>
    <row r="8697" spans="1:2">
      <c r="A8697" s="55"/>
      <c r="B8697"/>
    </row>
    <row r="8698" spans="1:2">
      <c r="A8698" s="55"/>
      <c r="B8698"/>
    </row>
    <row r="8699" spans="1:2">
      <c r="A8699" s="55"/>
      <c r="B8699"/>
    </row>
    <row r="8700" spans="1:2">
      <c r="A8700" s="55"/>
      <c r="B8700"/>
    </row>
    <row r="8701" spans="1:2">
      <c r="A8701" s="55"/>
      <c r="B8701"/>
    </row>
    <row r="8702" spans="1:2">
      <c r="A8702" s="55"/>
      <c r="B8702"/>
    </row>
    <row r="8703" spans="1:2">
      <c r="A8703" s="55"/>
      <c r="B8703"/>
    </row>
    <row r="8704" spans="1:2">
      <c r="A8704" s="55"/>
      <c r="B8704"/>
    </row>
    <row r="8705" spans="1:2">
      <c r="A8705" s="55"/>
      <c r="B8705"/>
    </row>
    <row r="8706" spans="1:2">
      <c r="A8706" s="55"/>
      <c r="B8706"/>
    </row>
    <row r="8707" spans="1:2">
      <c r="A8707" s="55"/>
      <c r="B8707"/>
    </row>
    <row r="8708" spans="1:2">
      <c r="A8708" s="55"/>
      <c r="B8708"/>
    </row>
    <row r="8709" spans="1:2">
      <c r="A8709" s="55"/>
      <c r="B8709"/>
    </row>
    <row r="8710" spans="1:2">
      <c r="A8710" s="55"/>
      <c r="B8710"/>
    </row>
    <row r="8711" spans="1:2">
      <c r="A8711" s="55"/>
      <c r="B8711"/>
    </row>
    <row r="8712" spans="1:2">
      <c r="A8712" s="55"/>
      <c r="B8712"/>
    </row>
    <row r="8713" spans="1:2">
      <c r="A8713" s="55"/>
      <c r="B8713"/>
    </row>
    <row r="8714" spans="1:2">
      <c r="A8714" s="55"/>
      <c r="B8714"/>
    </row>
    <row r="8715" spans="1:2">
      <c r="A8715" s="55"/>
      <c r="B8715"/>
    </row>
    <row r="8716" spans="1:2">
      <c r="A8716" s="55"/>
      <c r="B8716"/>
    </row>
    <row r="8717" spans="1:2">
      <c r="A8717" s="55"/>
      <c r="B8717"/>
    </row>
    <row r="8718" spans="1:2">
      <c r="A8718" s="55"/>
      <c r="B8718"/>
    </row>
    <row r="8719" spans="1:2">
      <c r="A8719" s="55"/>
      <c r="B8719"/>
    </row>
    <row r="8720" spans="1:2">
      <c r="A8720" s="55"/>
      <c r="B8720"/>
    </row>
    <row r="8721" spans="1:2">
      <c r="A8721" s="55"/>
      <c r="B8721"/>
    </row>
    <row r="8722" spans="1:2">
      <c r="A8722" s="55"/>
      <c r="B8722"/>
    </row>
    <row r="8723" spans="1:2">
      <c r="A8723" s="55"/>
      <c r="B8723"/>
    </row>
    <row r="8724" spans="1:2">
      <c r="A8724" s="55"/>
      <c r="B8724"/>
    </row>
    <row r="8725" spans="1:2">
      <c r="A8725" s="55"/>
      <c r="B8725"/>
    </row>
    <row r="8726" spans="1:2">
      <c r="A8726" s="55"/>
      <c r="B8726"/>
    </row>
    <row r="8727" spans="1:2">
      <c r="A8727" s="55"/>
      <c r="B8727"/>
    </row>
    <row r="8728" spans="1:2">
      <c r="A8728" s="55"/>
      <c r="B8728"/>
    </row>
    <row r="8729" spans="1:2">
      <c r="A8729" s="55"/>
      <c r="B8729"/>
    </row>
    <row r="8730" spans="1:2">
      <c r="A8730" s="55"/>
      <c r="B8730"/>
    </row>
    <row r="8731" spans="1:2">
      <c r="A8731" s="55"/>
      <c r="B8731"/>
    </row>
    <row r="8732" spans="1:2">
      <c r="A8732" s="55"/>
      <c r="B8732"/>
    </row>
    <row r="8733" spans="1:2">
      <c r="A8733" s="55"/>
      <c r="B8733"/>
    </row>
    <row r="8734" spans="1:2">
      <c r="A8734" s="55"/>
      <c r="B8734"/>
    </row>
    <row r="8735" spans="1:2">
      <c r="A8735" s="55"/>
      <c r="B8735"/>
    </row>
    <row r="8736" spans="1:2">
      <c r="A8736" s="55"/>
      <c r="B8736"/>
    </row>
    <row r="8737" spans="1:2">
      <c r="A8737" s="55"/>
      <c r="B8737"/>
    </row>
    <row r="8738" spans="1:2">
      <c r="A8738" s="55"/>
      <c r="B8738"/>
    </row>
    <row r="8739" spans="1:2">
      <c r="A8739" s="55"/>
      <c r="B8739"/>
    </row>
    <row r="8740" spans="1:2">
      <c r="A8740" s="55"/>
      <c r="B8740"/>
    </row>
    <row r="8741" spans="1:2">
      <c r="A8741" s="55"/>
      <c r="B8741"/>
    </row>
    <row r="8742" spans="1:2">
      <c r="A8742" s="55"/>
      <c r="B8742"/>
    </row>
    <row r="8743" spans="1:2">
      <c r="A8743" s="55"/>
      <c r="B8743"/>
    </row>
    <row r="8744" spans="1:2">
      <c r="A8744" s="55"/>
      <c r="B8744"/>
    </row>
    <row r="8745" spans="1:2">
      <c r="A8745" s="55"/>
      <c r="B8745"/>
    </row>
    <row r="8746" spans="1:2">
      <c r="A8746" s="55"/>
      <c r="B8746"/>
    </row>
    <row r="8747" spans="1:2">
      <c r="A8747" s="55"/>
      <c r="B8747"/>
    </row>
    <row r="8748" spans="1:2">
      <c r="A8748" s="55"/>
      <c r="B8748"/>
    </row>
    <row r="8749" spans="1:2">
      <c r="A8749" s="55"/>
      <c r="B8749"/>
    </row>
    <row r="8750" spans="1:2">
      <c r="A8750" s="55"/>
      <c r="B8750"/>
    </row>
    <row r="8751" spans="1:2">
      <c r="A8751" s="55"/>
      <c r="B8751"/>
    </row>
    <row r="8752" spans="1:2">
      <c r="A8752" s="55"/>
      <c r="B8752"/>
    </row>
    <row r="8753" spans="1:2">
      <c r="A8753" s="55"/>
      <c r="B8753"/>
    </row>
    <row r="8754" spans="1:2">
      <c r="A8754" s="55"/>
      <c r="B8754"/>
    </row>
    <row r="8755" spans="1:2">
      <c r="A8755" s="55"/>
      <c r="B8755"/>
    </row>
    <row r="8756" spans="1:2">
      <c r="A8756" s="55"/>
      <c r="B8756"/>
    </row>
    <row r="8757" spans="1:2">
      <c r="A8757" s="55"/>
      <c r="B8757"/>
    </row>
    <row r="8758" spans="1:2">
      <c r="A8758" s="55"/>
      <c r="B8758"/>
    </row>
    <row r="8759" spans="1:2">
      <c r="A8759" s="55"/>
      <c r="B8759"/>
    </row>
    <row r="8760" spans="1:2">
      <c r="A8760" s="55"/>
      <c r="B8760"/>
    </row>
    <row r="8761" spans="1:2">
      <c r="A8761" s="55"/>
      <c r="B8761"/>
    </row>
    <row r="8762" spans="1:2">
      <c r="A8762" s="55"/>
      <c r="B8762"/>
    </row>
    <row r="8763" spans="1:2">
      <c r="A8763" s="55"/>
      <c r="B8763"/>
    </row>
    <row r="8764" spans="1:2">
      <c r="A8764" s="55"/>
      <c r="B8764"/>
    </row>
    <row r="8765" spans="1:2">
      <c r="A8765" s="55"/>
      <c r="B8765"/>
    </row>
    <row r="8766" spans="1:2">
      <c r="A8766" s="55"/>
      <c r="B8766"/>
    </row>
    <row r="8767" spans="1:2">
      <c r="A8767" s="55"/>
      <c r="B8767"/>
    </row>
    <row r="8768" spans="1:2">
      <c r="A8768" s="55"/>
      <c r="B8768"/>
    </row>
    <row r="8769" spans="1:2">
      <c r="A8769" s="55"/>
      <c r="B8769"/>
    </row>
    <row r="8770" spans="1:2">
      <c r="A8770" s="55"/>
      <c r="B8770"/>
    </row>
    <row r="8771" spans="1:2">
      <c r="A8771" s="55"/>
      <c r="B8771"/>
    </row>
    <row r="8772" spans="1:2">
      <c r="A8772" s="55"/>
      <c r="B8772"/>
    </row>
    <row r="8773" spans="1:2">
      <c r="A8773" s="55"/>
      <c r="B8773"/>
    </row>
    <row r="8774" spans="1:2">
      <c r="A8774" s="55"/>
      <c r="B8774"/>
    </row>
    <row r="8775" spans="1:2">
      <c r="A8775" s="55"/>
      <c r="B8775"/>
    </row>
    <row r="8776" spans="1:2">
      <c r="A8776" s="55"/>
      <c r="B8776"/>
    </row>
    <row r="8777" spans="1:2">
      <c r="A8777" s="55"/>
      <c r="B8777"/>
    </row>
    <row r="8778" spans="1:2">
      <c r="A8778" s="55"/>
      <c r="B8778"/>
    </row>
    <row r="8779" spans="1:2">
      <c r="A8779" s="55"/>
      <c r="B8779"/>
    </row>
    <row r="8780" spans="1:2">
      <c r="A8780" s="55"/>
      <c r="B8780"/>
    </row>
    <row r="8781" spans="1:2">
      <c r="A8781" s="55"/>
      <c r="B8781"/>
    </row>
    <row r="8782" spans="1:2">
      <c r="A8782" s="55"/>
      <c r="B8782"/>
    </row>
    <row r="8783" spans="1:2">
      <c r="A8783" s="55"/>
      <c r="B8783"/>
    </row>
    <row r="8784" spans="1:2">
      <c r="A8784" s="55"/>
      <c r="B8784"/>
    </row>
    <row r="8785" spans="1:2">
      <c r="A8785" s="55"/>
      <c r="B8785"/>
    </row>
    <row r="8786" spans="1:2">
      <c r="A8786" s="55"/>
      <c r="B8786"/>
    </row>
    <row r="8787" spans="1:2">
      <c r="A8787" s="55"/>
      <c r="B8787"/>
    </row>
    <row r="8788" spans="1:2">
      <c r="A8788" s="55"/>
      <c r="B8788"/>
    </row>
    <row r="8789" spans="1:2">
      <c r="A8789" s="55"/>
      <c r="B8789"/>
    </row>
    <row r="8790" spans="1:2">
      <c r="A8790" s="55"/>
      <c r="B8790"/>
    </row>
    <row r="8791" spans="1:2">
      <c r="A8791" s="55"/>
      <c r="B8791"/>
    </row>
    <row r="8792" spans="1:2">
      <c r="A8792" s="55"/>
      <c r="B8792"/>
    </row>
    <row r="8793" spans="1:2">
      <c r="A8793" s="55"/>
      <c r="B8793"/>
    </row>
    <row r="8794" spans="1:2">
      <c r="A8794" s="55"/>
      <c r="B8794"/>
    </row>
    <row r="8795" spans="1:2">
      <c r="A8795" s="55"/>
      <c r="B8795"/>
    </row>
    <row r="8796" spans="1:2">
      <c r="A8796" s="55"/>
      <c r="B8796"/>
    </row>
    <row r="8797" spans="1:2">
      <c r="A8797" s="55"/>
      <c r="B8797"/>
    </row>
    <row r="8798" spans="1:2">
      <c r="A8798" s="55"/>
      <c r="B8798"/>
    </row>
    <row r="8799" spans="1:2">
      <c r="A8799" s="55"/>
      <c r="B8799"/>
    </row>
    <row r="8800" spans="1:2">
      <c r="A8800" s="55"/>
      <c r="B8800"/>
    </row>
    <row r="8801" spans="1:2">
      <c r="A8801" s="55"/>
      <c r="B8801"/>
    </row>
    <row r="8802" spans="1:2">
      <c r="A8802" s="55"/>
      <c r="B8802"/>
    </row>
    <row r="8803" spans="1:2">
      <c r="A8803" s="55"/>
      <c r="B8803"/>
    </row>
    <row r="8804" spans="1:2">
      <c r="A8804" s="55"/>
      <c r="B8804"/>
    </row>
    <row r="8805" spans="1:2">
      <c r="A8805" s="55"/>
      <c r="B8805"/>
    </row>
    <row r="8806" spans="1:2">
      <c r="A8806" s="55"/>
      <c r="B8806"/>
    </row>
    <row r="8807" spans="1:2">
      <c r="A8807" s="55"/>
      <c r="B8807"/>
    </row>
    <row r="8808" spans="1:2">
      <c r="A8808" s="55"/>
      <c r="B8808"/>
    </row>
    <row r="8809" spans="1:2">
      <c r="A8809" s="55"/>
      <c r="B8809"/>
    </row>
    <row r="8810" spans="1:2">
      <c r="A8810" s="55"/>
      <c r="B8810"/>
    </row>
    <row r="8811" spans="1:2">
      <c r="A8811" s="55"/>
      <c r="B8811"/>
    </row>
    <row r="8812" spans="1:2">
      <c r="A8812" s="55"/>
      <c r="B8812"/>
    </row>
    <row r="8813" spans="1:2">
      <c r="A8813" s="55"/>
      <c r="B8813"/>
    </row>
    <row r="8814" spans="1:2">
      <c r="A8814" s="55"/>
      <c r="B8814"/>
    </row>
    <row r="8815" spans="1:2">
      <c r="A8815" s="55"/>
      <c r="B8815"/>
    </row>
    <row r="8816" spans="1:2">
      <c r="A8816" s="55"/>
      <c r="B8816"/>
    </row>
    <row r="8817" spans="1:2">
      <c r="A8817" s="55"/>
      <c r="B8817"/>
    </row>
    <row r="8818" spans="1:2">
      <c r="A8818" s="55"/>
      <c r="B8818"/>
    </row>
    <row r="8819" spans="1:2">
      <c r="A8819" s="55"/>
      <c r="B8819"/>
    </row>
    <row r="8820" spans="1:2">
      <c r="A8820" s="55"/>
      <c r="B8820"/>
    </row>
    <row r="8821" spans="1:2">
      <c r="A8821" s="55"/>
      <c r="B8821"/>
    </row>
    <row r="8822" spans="1:2">
      <c r="A8822" s="55"/>
      <c r="B8822"/>
    </row>
    <row r="8823" spans="1:2">
      <c r="A8823" s="55"/>
      <c r="B8823"/>
    </row>
    <row r="8824" spans="1:2">
      <c r="A8824" s="55"/>
      <c r="B8824"/>
    </row>
    <row r="8825" spans="1:2">
      <c r="A8825" s="55"/>
      <c r="B8825"/>
    </row>
    <row r="8826" spans="1:2">
      <c r="A8826" s="55"/>
      <c r="B8826"/>
    </row>
    <row r="8827" spans="1:2">
      <c r="A8827" s="55"/>
      <c r="B8827"/>
    </row>
    <row r="8828" spans="1:2">
      <c r="A8828" s="55"/>
      <c r="B8828"/>
    </row>
    <row r="8829" spans="1:2">
      <c r="A8829" s="55"/>
      <c r="B8829"/>
    </row>
    <row r="8830" spans="1:2">
      <c r="A8830" s="55"/>
      <c r="B8830"/>
    </row>
    <row r="8831" spans="1:2">
      <c r="A8831" s="55"/>
      <c r="B8831"/>
    </row>
    <row r="8832" spans="1:2">
      <c r="A8832" s="55"/>
      <c r="B8832"/>
    </row>
    <row r="8833" spans="1:2">
      <c r="A8833" s="55"/>
      <c r="B8833"/>
    </row>
    <row r="8834" spans="1:2">
      <c r="A8834" s="55"/>
      <c r="B8834"/>
    </row>
    <row r="8835" spans="1:2">
      <c r="A8835" s="55"/>
      <c r="B8835"/>
    </row>
    <row r="8836" spans="1:2">
      <c r="A8836" s="55"/>
      <c r="B8836"/>
    </row>
    <row r="8837" spans="1:2">
      <c r="A8837" s="55"/>
      <c r="B8837"/>
    </row>
    <row r="8838" spans="1:2">
      <c r="A8838" s="55"/>
      <c r="B8838"/>
    </row>
    <row r="8839" spans="1:2">
      <c r="A8839" s="55"/>
      <c r="B8839"/>
    </row>
    <row r="8840" spans="1:2">
      <c r="A8840" s="55"/>
      <c r="B8840"/>
    </row>
    <row r="8841" spans="1:2">
      <c r="A8841" s="55"/>
      <c r="B8841"/>
    </row>
    <row r="8842" spans="1:2">
      <c r="A8842" s="55"/>
      <c r="B8842"/>
    </row>
    <row r="8843" spans="1:2">
      <c r="A8843" s="55"/>
      <c r="B8843"/>
    </row>
    <row r="8844" spans="1:2">
      <c r="A8844" s="55"/>
      <c r="B8844"/>
    </row>
    <row r="8845" spans="1:2">
      <c r="A8845" s="55"/>
      <c r="B8845"/>
    </row>
    <row r="8846" spans="1:2">
      <c r="A8846" s="55"/>
      <c r="B8846"/>
    </row>
    <row r="8847" spans="1:2">
      <c r="A8847" s="55"/>
      <c r="B8847"/>
    </row>
    <row r="8848" spans="1:2">
      <c r="A8848" s="55"/>
      <c r="B8848"/>
    </row>
    <row r="8849" spans="1:2">
      <c r="A8849" s="55"/>
      <c r="B8849"/>
    </row>
    <row r="8850" spans="1:2">
      <c r="A8850" s="55"/>
      <c r="B8850"/>
    </row>
    <row r="8851" spans="1:2">
      <c r="A8851" s="55"/>
      <c r="B8851"/>
    </row>
    <row r="8852" spans="1:2">
      <c r="A8852" s="55"/>
      <c r="B8852"/>
    </row>
    <row r="8853" spans="1:2">
      <c r="A8853" s="55"/>
      <c r="B8853"/>
    </row>
    <row r="8854" spans="1:2">
      <c r="A8854" s="55"/>
      <c r="B8854"/>
    </row>
    <row r="8855" spans="1:2">
      <c r="A8855" s="55"/>
      <c r="B8855"/>
    </row>
    <row r="8856" spans="1:2">
      <c r="A8856" s="55"/>
      <c r="B8856"/>
    </row>
    <row r="8857" spans="1:2">
      <c r="A8857" s="55"/>
      <c r="B8857"/>
    </row>
    <row r="8858" spans="1:2">
      <c r="A8858" s="55"/>
      <c r="B8858"/>
    </row>
    <row r="8859" spans="1:2">
      <c r="A8859" s="55"/>
      <c r="B8859"/>
    </row>
    <row r="8860" spans="1:2">
      <c r="A8860" s="55"/>
      <c r="B8860"/>
    </row>
    <row r="8861" spans="1:2">
      <c r="A8861" s="55"/>
      <c r="B8861"/>
    </row>
    <row r="8862" spans="1:2">
      <c r="A8862" s="55"/>
      <c r="B8862"/>
    </row>
    <row r="8863" spans="1:2">
      <c r="A8863" s="55"/>
      <c r="B8863"/>
    </row>
    <row r="8864" spans="1:2">
      <c r="A8864" s="55"/>
      <c r="B8864"/>
    </row>
    <row r="8865" spans="1:2">
      <c r="A8865" s="55"/>
      <c r="B8865"/>
    </row>
    <row r="8866" spans="1:2">
      <c r="A8866" s="55"/>
      <c r="B8866"/>
    </row>
    <row r="8867" spans="1:2">
      <c r="A8867" s="55"/>
      <c r="B8867"/>
    </row>
    <row r="8868" spans="1:2">
      <c r="A8868" s="55"/>
      <c r="B8868"/>
    </row>
    <row r="8869" spans="1:2">
      <c r="A8869" s="55"/>
      <c r="B8869"/>
    </row>
    <row r="8870" spans="1:2">
      <c r="A8870" s="55"/>
      <c r="B8870"/>
    </row>
    <row r="8871" spans="1:2">
      <c r="A8871" s="55"/>
      <c r="B8871"/>
    </row>
    <row r="8872" spans="1:2">
      <c r="A8872" s="55"/>
      <c r="B8872"/>
    </row>
    <row r="8873" spans="1:2">
      <c r="A8873" s="55"/>
      <c r="B8873"/>
    </row>
    <row r="8874" spans="1:2">
      <c r="A8874" s="55"/>
      <c r="B8874"/>
    </row>
    <row r="8875" spans="1:2">
      <c r="A8875" s="55"/>
      <c r="B8875"/>
    </row>
    <row r="8876" spans="1:2">
      <c r="A8876" s="55"/>
      <c r="B8876"/>
    </row>
    <row r="8877" spans="1:2">
      <c r="A8877" s="55"/>
      <c r="B8877"/>
    </row>
    <row r="8878" spans="1:2">
      <c r="A8878" s="55"/>
      <c r="B8878"/>
    </row>
    <row r="8879" spans="1:2">
      <c r="A8879" s="55"/>
      <c r="B8879"/>
    </row>
    <row r="8880" spans="1:2">
      <c r="A8880" s="55"/>
      <c r="B8880"/>
    </row>
    <row r="8881" spans="1:2">
      <c r="A8881" s="55"/>
      <c r="B8881"/>
    </row>
    <row r="8882" spans="1:2">
      <c r="A8882" s="55"/>
      <c r="B8882"/>
    </row>
    <row r="8883" spans="1:2">
      <c r="A8883" s="55"/>
      <c r="B8883"/>
    </row>
    <row r="8884" spans="1:2">
      <c r="A8884" s="55"/>
      <c r="B8884"/>
    </row>
    <row r="8885" spans="1:2">
      <c r="A8885" s="55"/>
      <c r="B8885"/>
    </row>
    <row r="8886" spans="1:2">
      <c r="A8886" s="55"/>
      <c r="B8886"/>
    </row>
    <row r="8887" spans="1:2">
      <c r="A8887" s="55"/>
      <c r="B8887"/>
    </row>
    <row r="8888" spans="1:2">
      <c r="A8888" s="55"/>
      <c r="B8888"/>
    </row>
    <row r="8889" spans="1:2">
      <c r="A8889" s="55"/>
      <c r="B8889"/>
    </row>
    <row r="8890" spans="1:2">
      <c r="A8890" s="55"/>
      <c r="B8890"/>
    </row>
    <row r="8891" spans="1:2">
      <c r="A8891" s="55"/>
      <c r="B8891"/>
    </row>
    <row r="8892" spans="1:2">
      <c r="A8892" s="55"/>
      <c r="B8892"/>
    </row>
    <row r="8893" spans="1:2">
      <c r="A8893" s="55"/>
      <c r="B8893"/>
    </row>
    <row r="8894" spans="1:2">
      <c r="A8894" s="55"/>
      <c r="B8894"/>
    </row>
    <row r="8895" spans="1:2">
      <c r="A8895" s="55"/>
      <c r="B8895"/>
    </row>
    <row r="8896" spans="1:2">
      <c r="A8896" s="55"/>
      <c r="B8896"/>
    </row>
    <row r="8897" spans="1:2">
      <c r="A8897" s="55"/>
      <c r="B8897"/>
    </row>
    <row r="8898" spans="1:2">
      <c r="A8898" s="55"/>
      <c r="B8898"/>
    </row>
    <row r="8899" spans="1:2">
      <c r="A8899" s="55"/>
      <c r="B8899"/>
    </row>
    <row r="8900" spans="1:2">
      <c r="A8900" s="55"/>
      <c r="B8900"/>
    </row>
    <row r="8901" spans="1:2">
      <c r="A8901" s="55"/>
      <c r="B8901"/>
    </row>
    <row r="8902" spans="1:2">
      <c r="A8902" s="55"/>
      <c r="B8902"/>
    </row>
    <row r="8903" spans="1:2">
      <c r="A8903" s="55"/>
      <c r="B8903"/>
    </row>
    <row r="8904" spans="1:2">
      <c r="A8904" s="55"/>
      <c r="B8904"/>
    </row>
    <row r="8905" spans="1:2">
      <c r="A8905" s="55"/>
      <c r="B8905"/>
    </row>
    <row r="8906" spans="1:2">
      <c r="A8906" s="55"/>
      <c r="B8906"/>
    </row>
    <row r="8907" spans="1:2">
      <c r="A8907" s="55"/>
      <c r="B8907"/>
    </row>
    <row r="8908" spans="1:2">
      <c r="A8908" s="55"/>
      <c r="B8908"/>
    </row>
    <row r="8909" spans="1:2">
      <c r="A8909" s="55"/>
      <c r="B8909"/>
    </row>
    <row r="8910" spans="1:2">
      <c r="A8910" s="55"/>
      <c r="B8910"/>
    </row>
    <row r="8911" spans="1:2">
      <c r="A8911" s="55"/>
      <c r="B8911"/>
    </row>
    <row r="8912" spans="1:2">
      <c r="A8912" s="55"/>
      <c r="B8912"/>
    </row>
    <row r="8913" spans="1:2">
      <c r="A8913" s="55"/>
      <c r="B8913"/>
    </row>
    <row r="8914" spans="1:2">
      <c r="A8914" s="55"/>
      <c r="B8914"/>
    </row>
    <row r="8915" spans="1:2">
      <c r="A8915" s="55"/>
      <c r="B8915"/>
    </row>
    <row r="8916" spans="1:2">
      <c r="A8916" s="55"/>
      <c r="B8916"/>
    </row>
    <row r="8917" spans="1:2">
      <c r="A8917" s="55"/>
      <c r="B8917"/>
    </row>
    <row r="8918" spans="1:2">
      <c r="A8918" s="55"/>
      <c r="B8918"/>
    </row>
    <row r="8919" spans="1:2">
      <c r="A8919" s="55"/>
      <c r="B8919"/>
    </row>
    <row r="8920" spans="1:2">
      <c r="A8920" s="55"/>
      <c r="B8920"/>
    </row>
    <row r="8921" spans="1:2">
      <c r="A8921" s="55"/>
      <c r="B8921"/>
    </row>
    <row r="8922" spans="1:2">
      <c r="A8922" s="55"/>
      <c r="B8922"/>
    </row>
    <row r="8923" spans="1:2">
      <c r="A8923" s="55"/>
      <c r="B8923"/>
    </row>
    <row r="8924" spans="1:2">
      <c r="A8924" s="55"/>
      <c r="B8924"/>
    </row>
    <row r="8925" spans="1:2">
      <c r="A8925" s="55"/>
      <c r="B8925"/>
    </row>
    <row r="8926" spans="1:2">
      <c r="A8926" s="55"/>
      <c r="B8926"/>
    </row>
    <row r="8927" spans="1:2">
      <c r="A8927" s="55"/>
      <c r="B8927"/>
    </row>
    <row r="8928" spans="1:2">
      <c r="A8928" s="55"/>
      <c r="B8928"/>
    </row>
    <row r="8929" spans="1:2">
      <c r="A8929" s="55"/>
      <c r="B8929"/>
    </row>
    <row r="8930" spans="1:2">
      <c r="A8930" s="55"/>
      <c r="B8930"/>
    </row>
    <row r="8931" spans="1:2">
      <c r="A8931" s="55"/>
      <c r="B8931"/>
    </row>
    <row r="8932" spans="1:2">
      <c r="A8932" s="55"/>
      <c r="B8932"/>
    </row>
    <row r="8933" spans="1:2">
      <c r="A8933" s="55"/>
      <c r="B8933"/>
    </row>
    <row r="8934" spans="1:2">
      <c r="A8934" s="55"/>
      <c r="B8934"/>
    </row>
    <row r="8935" spans="1:2">
      <c r="A8935" s="55"/>
      <c r="B8935"/>
    </row>
    <row r="8936" spans="1:2">
      <c r="A8936" s="55"/>
      <c r="B8936"/>
    </row>
    <row r="8937" spans="1:2">
      <c r="A8937" s="55"/>
      <c r="B8937"/>
    </row>
    <row r="8938" spans="1:2">
      <c r="A8938" s="55"/>
      <c r="B8938"/>
    </row>
    <row r="8939" spans="1:2">
      <c r="A8939" s="55"/>
      <c r="B8939"/>
    </row>
    <row r="8940" spans="1:2">
      <c r="A8940" s="55"/>
      <c r="B8940"/>
    </row>
    <row r="8941" spans="1:2">
      <c r="A8941" s="55"/>
      <c r="B8941"/>
    </row>
    <row r="8942" spans="1:2">
      <c r="A8942" s="55"/>
      <c r="B8942"/>
    </row>
    <row r="8943" spans="1:2">
      <c r="A8943" s="55"/>
      <c r="B8943"/>
    </row>
    <row r="8944" spans="1:2">
      <c r="A8944" s="55"/>
      <c r="B8944"/>
    </row>
    <row r="8945" spans="1:2">
      <c r="A8945" s="55"/>
      <c r="B8945"/>
    </row>
    <row r="8946" spans="1:2">
      <c r="A8946" s="55"/>
      <c r="B8946"/>
    </row>
    <row r="8947" spans="1:2">
      <c r="A8947" s="55"/>
      <c r="B8947"/>
    </row>
    <row r="8948" spans="1:2">
      <c r="A8948" s="55"/>
      <c r="B8948"/>
    </row>
    <row r="8949" spans="1:2">
      <c r="A8949" s="55"/>
      <c r="B8949"/>
    </row>
    <row r="8950" spans="1:2">
      <c r="A8950" s="55"/>
      <c r="B8950"/>
    </row>
    <row r="8951" spans="1:2">
      <c r="A8951" s="55"/>
      <c r="B8951"/>
    </row>
    <row r="8952" spans="1:2">
      <c r="A8952" s="55"/>
      <c r="B8952"/>
    </row>
    <row r="8953" spans="1:2">
      <c r="A8953" s="55"/>
      <c r="B8953"/>
    </row>
    <row r="8954" spans="1:2">
      <c r="A8954" s="55"/>
      <c r="B8954"/>
    </row>
    <row r="8955" spans="1:2">
      <c r="A8955" s="55"/>
      <c r="B8955"/>
    </row>
    <row r="8956" spans="1:2">
      <c r="A8956" s="55"/>
      <c r="B8956"/>
    </row>
    <row r="8957" spans="1:2">
      <c r="A8957" s="55"/>
      <c r="B8957"/>
    </row>
    <row r="8958" spans="1:2">
      <c r="A8958" s="55"/>
      <c r="B8958"/>
    </row>
    <row r="8959" spans="1:2">
      <c r="A8959" s="55"/>
      <c r="B8959"/>
    </row>
    <row r="8960" spans="1:2">
      <c r="A8960" s="55"/>
      <c r="B8960"/>
    </row>
    <row r="8961" spans="1:2">
      <c r="A8961" s="55"/>
      <c r="B8961"/>
    </row>
    <row r="8962" spans="1:2">
      <c r="A8962" s="55"/>
      <c r="B8962"/>
    </row>
    <row r="8963" spans="1:2">
      <c r="A8963" s="55"/>
      <c r="B8963"/>
    </row>
    <row r="8964" spans="1:2">
      <c r="A8964" s="55"/>
      <c r="B8964"/>
    </row>
    <row r="8965" spans="1:2">
      <c r="A8965" s="55"/>
      <c r="B8965"/>
    </row>
    <row r="8966" spans="1:2">
      <c r="A8966" s="55"/>
      <c r="B8966"/>
    </row>
    <row r="8967" spans="1:2">
      <c r="A8967" s="55"/>
      <c r="B8967"/>
    </row>
    <row r="8968" spans="1:2">
      <c r="A8968" s="55"/>
      <c r="B8968"/>
    </row>
    <row r="8969" spans="1:2">
      <c r="A8969" s="55"/>
      <c r="B8969"/>
    </row>
    <row r="8970" spans="1:2">
      <c r="A8970" s="55"/>
      <c r="B8970"/>
    </row>
    <row r="8971" spans="1:2">
      <c r="A8971" s="55"/>
      <c r="B8971"/>
    </row>
    <row r="8972" spans="1:2">
      <c r="A8972" s="55"/>
      <c r="B8972"/>
    </row>
    <row r="8973" spans="1:2">
      <c r="A8973" s="55"/>
      <c r="B8973"/>
    </row>
    <row r="8974" spans="1:2">
      <c r="A8974" s="55"/>
      <c r="B8974"/>
    </row>
    <row r="8975" spans="1:2">
      <c r="A8975" s="55"/>
      <c r="B8975"/>
    </row>
    <row r="8976" spans="1:2">
      <c r="A8976" s="55"/>
      <c r="B8976"/>
    </row>
    <row r="8977" spans="1:2">
      <c r="A8977" s="55"/>
      <c r="B8977"/>
    </row>
    <row r="8978" spans="1:2">
      <c r="A8978" s="55"/>
      <c r="B8978"/>
    </row>
    <row r="8979" spans="1:2">
      <c r="A8979" s="55"/>
      <c r="B8979"/>
    </row>
    <row r="8980" spans="1:2">
      <c r="A8980" s="55"/>
      <c r="B8980"/>
    </row>
    <row r="8981" spans="1:2">
      <c r="A8981" s="55"/>
      <c r="B8981"/>
    </row>
    <row r="8982" spans="1:2">
      <c r="A8982" s="55"/>
      <c r="B8982"/>
    </row>
    <row r="8983" spans="1:2">
      <c r="A8983" s="55"/>
      <c r="B8983"/>
    </row>
    <row r="8984" spans="1:2">
      <c r="A8984" s="55"/>
      <c r="B8984"/>
    </row>
    <row r="8985" spans="1:2">
      <c r="A8985" s="55"/>
      <c r="B8985"/>
    </row>
    <row r="8986" spans="1:2">
      <c r="A8986" s="55"/>
      <c r="B8986"/>
    </row>
    <row r="8987" spans="1:2">
      <c r="A8987" s="55"/>
      <c r="B8987"/>
    </row>
    <row r="8988" spans="1:2">
      <c r="A8988" s="55"/>
      <c r="B8988"/>
    </row>
    <row r="8989" spans="1:2">
      <c r="A8989" s="55"/>
      <c r="B8989"/>
    </row>
    <row r="8990" spans="1:2">
      <c r="A8990" s="55"/>
      <c r="B8990"/>
    </row>
    <row r="8991" spans="1:2">
      <c r="A8991" s="55"/>
      <c r="B8991"/>
    </row>
    <row r="8992" spans="1:2">
      <c r="A8992" s="55"/>
      <c r="B8992"/>
    </row>
    <row r="8993" spans="1:2">
      <c r="A8993" s="55"/>
      <c r="B8993"/>
    </row>
    <row r="8994" spans="1:2">
      <c r="A8994" s="55"/>
      <c r="B8994"/>
    </row>
    <row r="8995" spans="1:2">
      <c r="A8995" s="55"/>
      <c r="B8995"/>
    </row>
    <row r="8996" spans="1:2">
      <c r="A8996" s="55"/>
      <c r="B8996"/>
    </row>
    <row r="8997" spans="1:2">
      <c r="A8997" s="55"/>
      <c r="B8997"/>
    </row>
    <row r="8998" spans="1:2">
      <c r="A8998" s="55"/>
      <c r="B8998"/>
    </row>
    <row r="8999" spans="1:2">
      <c r="A8999" s="55"/>
      <c r="B8999"/>
    </row>
    <row r="9000" spans="1:2">
      <c r="A9000" s="55"/>
      <c r="B9000"/>
    </row>
    <row r="9001" spans="1:2">
      <c r="A9001" s="55"/>
      <c r="B9001"/>
    </row>
    <row r="9002" spans="1:2">
      <c r="A9002" s="55"/>
      <c r="B9002"/>
    </row>
    <row r="9003" spans="1:2">
      <c r="A9003" s="55"/>
      <c r="B9003"/>
    </row>
    <row r="9004" spans="1:2">
      <c r="A9004" s="55"/>
      <c r="B9004"/>
    </row>
    <row r="9005" spans="1:2">
      <c r="A9005" s="55"/>
      <c r="B9005"/>
    </row>
    <row r="9006" spans="1:2">
      <c r="A9006" s="55"/>
      <c r="B9006"/>
    </row>
    <row r="9007" spans="1:2">
      <c r="A9007" s="55"/>
      <c r="B9007"/>
    </row>
    <row r="9008" spans="1:2">
      <c r="A9008" s="55"/>
      <c r="B9008"/>
    </row>
    <row r="9009" spans="1:2">
      <c r="A9009" s="55"/>
      <c r="B9009"/>
    </row>
    <row r="9010" spans="1:2">
      <c r="A9010" s="55"/>
      <c r="B9010"/>
    </row>
    <row r="9011" spans="1:2">
      <c r="A9011" s="55"/>
      <c r="B9011"/>
    </row>
    <row r="9012" spans="1:2">
      <c r="A9012" s="55"/>
      <c r="B9012"/>
    </row>
    <row r="9013" spans="1:2">
      <c r="A9013" s="55"/>
      <c r="B9013"/>
    </row>
    <row r="9014" spans="1:2">
      <c r="A9014" s="55"/>
      <c r="B9014"/>
    </row>
    <row r="9015" spans="1:2">
      <c r="A9015" s="55"/>
      <c r="B9015"/>
    </row>
    <row r="9016" spans="1:2">
      <c r="A9016" s="55"/>
      <c r="B9016"/>
    </row>
    <row r="9017" spans="1:2">
      <c r="A9017" s="55"/>
      <c r="B9017"/>
    </row>
    <row r="9018" spans="1:2">
      <c r="A9018" s="55"/>
      <c r="B9018"/>
    </row>
    <row r="9019" spans="1:2">
      <c r="A9019" s="55"/>
      <c r="B9019"/>
    </row>
    <row r="9020" spans="1:2">
      <c r="A9020" s="55"/>
      <c r="B9020"/>
    </row>
    <row r="9021" spans="1:2">
      <c r="A9021" s="55"/>
      <c r="B9021"/>
    </row>
    <row r="9022" spans="1:2">
      <c r="A9022" s="55"/>
      <c r="B9022"/>
    </row>
    <row r="9023" spans="1:2">
      <c r="A9023" s="55"/>
      <c r="B9023"/>
    </row>
    <row r="9024" spans="1:2">
      <c r="A9024" s="55"/>
      <c r="B9024"/>
    </row>
    <row r="9025" spans="1:2">
      <c r="A9025" s="55"/>
      <c r="B9025"/>
    </row>
    <row r="9026" spans="1:2">
      <c r="A9026" s="55"/>
      <c r="B9026"/>
    </row>
    <row r="9027" spans="1:2">
      <c r="A9027" s="55"/>
      <c r="B9027"/>
    </row>
    <row r="9028" spans="1:2">
      <c r="A9028" s="55"/>
      <c r="B9028"/>
    </row>
    <row r="9029" spans="1:2">
      <c r="A9029" s="55"/>
      <c r="B9029"/>
    </row>
    <row r="9030" spans="1:2">
      <c r="A9030" s="55"/>
      <c r="B9030"/>
    </row>
    <row r="9031" spans="1:2">
      <c r="A9031" s="55"/>
      <c r="B9031"/>
    </row>
    <row r="9032" spans="1:2">
      <c r="A9032" s="55"/>
      <c r="B9032"/>
    </row>
    <row r="9033" spans="1:2">
      <c r="A9033" s="55"/>
      <c r="B9033"/>
    </row>
    <row r="9034" spans="1:2">
      <c r="A9034" s="55"/>
      <c r="B9034"/>
    </row>
    <row r="9035" spans="1:2">
      <c r="A9035" s="55"/>
      <c r="B9035"/>
    </row>
    <row r="9036" spans="1:2">
      <c r="A9036" s="55"/>
      <c r="B9036"/>
    </row>
    <row r="9037" spans="1:2">
      <c r="A9037" s="55"/>
      <c r="B9037"/>
    </row>
    <row r="9038" spans="1:2">
      <c r="A9038" s="55"/>
      <c r="B9038"/>
    </row>
    <row r="9039" spans="1:2">
      <c r="A9039" s="55"/>
      <c r="B9039"/>
    </row>
    <row r="9040" spans="1:2">
      <c r="A9040" s="55"/>
      <c r="B9040"/>
    </row>
    <row r="9041" spans="1:2">
      <c r="A9041" s="55"/>
      <c r="B9041"/>
    </row>
    <row r="9042" spans="1:2">
      <c r="A9042" s="55"/>
      <c r="B9042"/>
    </row>
    <row r="9043" spans="1:2">
      <c r="A9043" s="55"/>
      <c r="B9043"/>
    </row>
    <row r="9044" spans="1:2">
      <c r="A9044" s="55"/>
      <c r="B9044"/>
    </row>
    <row r="9045" spans="1:2">
      <c r="A9045" s="55"/>
      <c r="B9045"/>
    </row>
    <row r="9046" spans="1:2">
      <c r="A9046" s="55"/>
      <c r="B9046"/>
    </row>
    <row r="9047" spans="1:2">
      <c r="A9047" s="55"/>
      <c r="B9047"/>
    </row>
    <row r="9048" spans="1:2">
      <c r="A9048" s="55"/>
      <c r="B9048"/>
    </row>
    <row r="9049" spans="1:2">
      <c r="A9049" s="55"/>
      <c r="B9049"/>
    </row>
    <row r="9050" spans="1:2">
      <c r="A9050" s="55"/>
      <c r="B9050"/>
    </row>
    <row r="9051" spans="1:2">
      <c r="A9051" s="55"/>
      <c r="B9051"/>
    </row>
    <row r="9052" spans="1:2">
      <c r="A9052" s="55"/>
      <c r="B9052"/>
    </row>
    <row r="9053" spans="1:2">
      <c r="A9053" s="55"/>
      <c r="B9053"/>
    </row>
    <row r="9054" spans="1:2">
      <c r="A9054" s="55"/>
      <c r="B9054"/>
    </row>
    <row r="9055" spans="1:2">
      <c r="A9055" s="55"/>
      <c r="B9055"/>
    </row>
    <row r="9056" spans="1:2">
      <c r="A9056" s="55"/>
      <c r="B9056"/>
    </row>
    <row r="9057" spans="1:2">
      <c r="A9057" s="55"/>
      <c r="B9057"/>
    </row>
    <row r="9058" spans="1:2">
      <c r="A9058" s="55"/>
      <c r="B9058"/>
    </row>
    <row r="9059" spans="1:2">
      <c r="A9059" s="55"/>
      <c r="B9059"/>
    </row>
    <row r="9060" spans="1:2">
      <c r="A9060" s="55"/>
      <c r="B9060"/>
    </row>
    <row r="9061" spans="1:2">
      <c r="A9061" s="55"/>
      <c r="B9061"/>
    </row>
    <row r="9062" spans="1:2">
      <c r="A9062" s="55"/>
      <c r="B9062"/>
    </row>
    <row r="9063" spans="1:2">
      <c r="A9063" s="55"/>
      <c r="B9063"/>
    </row>
    <row r="9064" spans="1:2">
      <c r="A9064" s="55"/>
      <c r="B9064"/>
    </row>
    <row r="9065" spans="1:2">
      <c r="A9065" s="55"/>
      <c r="B9065"/>
    </row>
    <row r="9066" spans="1:2">
      <c r="A9066" s="55"/>
      <c r="B9066"/>
    </row>
    <row r="9067" spans="1:2">
      <c r="A9067" s="55"/>
      <c r="B9067"/>
    </row>
    <row r="9068" spans="1:2">
      <c r="A9068" s="55"/>
      <c r="B9068"/>
    </row>
    <row r="9069" spans="1:2">
      <c r="A9069" s="55"/>
      <c r="B9069"/>
    </row>
    <row r="9070" spans="1:2">
      <c r="A9070" s="55"/>
      <c r="B9070"/>
    </row>
    <row r="9071" spans="1:2">
      <c r="A9071" s="55"/>
      <c r="B9071"/>
    </row>
    <row r="9072" spans="1:2">
      <c r="A9072" s="55"/>
      <c r="B9072"/>
    </row>
    <row r="9073" spans="1:2">
      <c r="A9073" s="55"/>
      <c r="B9073"/>
    </row>
    <row r="9074" spans="1:2">
      <c r="A9074" s="55"/>
      <c r="B9074"/>
    </row>
    <row r="9075" spans="1:2">
      <c r="A9075" s="55"/>
      <c r="B9075"/>
    </row>
    <row r="9076" spans="1:2">
      <c r="A9076" s="55"/>
      <c r="B9076"/>
    </row>
    <row r="9077" spans="1:2">
      <c r="A9077" s="55"/>
      <c r="B9077"/>
    </row>
    <row r="9078" spans="1:2">
      <c r="A9078" s="55"/>
      <c r="B9078"/>
    </row>
    <row r="9079" spans="1:2">
      <c r="A9079" s="55"/>
      <c r="B9079"/>
    </row>
    <row r="9080" spans="1:2">
      <c r="A9080" s="55"/>
      <c r="B9080"/>
    </row>
    <row r="9081" spans="1:2">
      <c r="A9081" s="55"/>
      <c r="B9081"/>
    </row>
    <row r="9082" spans="1:2">
      <c r="A9082" s="55"/>
      <c r="B9082"/>
    </row>
    <row r="9083" spans="1:2">
      <c r="A9083" s="55"/>
      <c r="B9083"/>
    </row>
    <row r="9084" spans="1:2">
      <c r="A9084" s="55"/>
      <c r="B9084"/>
    </row>
    <row r="9085" spans="1:2">
      <c r="A9085" s="55"/>
      <c r="B9085"/>
    </row>
    <row r="9086" spans="1:2">
      <c r="A9086" s="55"/>
      <c r="B9086"/>
    </row>
    <row r="9087" spans="1:2">
      <c r="A9087" s="55"/>
      <c r="B9087"/>
    </row>
    <row r="9088" spans="1:2">
      <c r="A9088" s="55"/>
      <c r="B9088"/>
    </row>
    <row r="9089" spans="1:2">
      <c r="A9089" s="55"/>
      <c r="B9089"/>
    </row>
    <row r="9090" spans="1:2">
      <c r="A9090" s="55"/>
      <c r="B9090"/>
    </row>
    <row r="9091" spans="1:2">
      <c r="A9091" s="55"/>
      <c r="B9091"/>
    </row>
    <row r="9092" spans="1:2">
      <c r="A9092" s="55"/>
      <c r="B9092"/>
    </row>
    <row r="9093" spans="1:2">
      <c r="A9093" s="55"/>
      <c r="B9093"/>
    </row>
    <row r="9094" spans="1:2">
      <c r="A9094" s="55"/>
      <c r="B9094"/>
    </row>
    <row r="9095" spans="1:2">
      <c r="A9095" s="55"/>
      <c r="B9095"/>
    </row>
    <row r="9096" spans="1:2">
      <c r="A9096" s="55"/>
      <c r="B9096"/>
    </row>
    <row r="9097" spans="1:2">
      <c r="A9097" s="55"/>
      <c r="B9097"/>
    </row>
    <row r="9098" spans="1:2">
      <c r="A9098" s="55"/>
      <c r="B9098"/>
    </row>
    <row r="9099" spans="1:2">
      <c r="A9099" s="55"/>
      <c r="B9099"/>
    </row>
    <row r="9100" spans="1:2">
      <c r="A9100" s="55"/>
      <c r="B9100"/>
    </row>
    <row r="9101" spans="1:2">
      <c r="A9101" s="55"/>
      <c r="B9101"/>
    </row>
    <row r="9102" spans="1:2">
      <c r="A9102" s="55"/>
      <c r="B9102"/>
    </row>
    <row r="9103" spans="1:2">
      <c r="A9103" s="55"/>
      <c r="B9103"/>
    </row>
    <row r="9104" spans="1:2">
      <c r="A9104" s="55"/>
      <c r="B9104"/>
    </row>
    <row r="9105" spans="1:2">
      <c r="A9105" s="55"/>
      <c r="B9105"/>
    </row>
    <row r="9106" spans="1:2">
      <c r="A9106" s="55"/>
      <c r="B9106"/>
    </row>
    <row r="9107" spans="1:2">
      <c r="A9107" s="55"/>
      <c r="B9107"/>
    </row>
    <row r="9108" spans="1:2">
      <c r="A9108" s="55"/>
      <c r="B9108"/>
    </row>
    <row r="9109" spans="1:2">
      <c r="A9109" s="55"/>
      <c r="B9109"/>
    </row>
    <row r="9110" spans="1:2">
      <c r="A9110" s="55"/>
      <c r="B9110"/>
    </row>
    <row r="9111" spans="1:2">
      <c r="A9111" s="55"/>
      <c r="B9111"/>
    </row>
    <row r="9112" spans="1:2">
      <c r="A9112" s="55"/>
      <c r="B9112"/>
    </row>
    <row r="9113" spans="1:2">
      <c r="A9113" s="55"/>
      <c r="B9113"/>
    </row>
    <row r="9114" spans="1:2">
      <c r="A9114" s="55"/>
      <c r="B9114"/>
    </row>
    <row r="9115" spans="1:2">
      <c r="A9115" s="55"/>
      <c r="B9115"/>
    </row>
    <row r="9116" spans="1:2">
      <c r="A9116" s="55"/>
      <c r="B9116"/>
    </row>
    <row r="9117" spans="1:2">
      <c r="A9117" s="55"/>
      <c r="B9117"/>
    </row>
    <row r="9118" spans="1:2">
      <c r="A9118" s="55"/>
      <c r="B9118"/>
    </row>
    <row r="9119" spans="1:2">
      <c r="A9119" s="55"/>
      <c r="B9119"/>
    </row>
    <row r="9120" spans="1:2">
      <c r="A9120" s="55"/>
      <c r="B9120"/>
    </row>
    <row r="9121" spans="1:2">
      <c r="A9121" s="55"/>
      <c r="B9121"/>
    </row>
    <row r="9122" spans="1:2">
      <c r="A9122" s="55"/>
      <c r="B9122"/>
    </row>
    <row r="9123" spans="1:2">
      <c r="A9123" s="55"/>
      <c r="B9123"/>
    </row>
    <row r="9124" spans="1:2">
      <c r="A9124" s="55"/>
      <c r="B9124"/>
    </row>
    <row r="9125" spans="1:2">
      <c r="A9125" s="55"/>
      <c r="B9125"/>
    </row>
    <row r="9126" spans="1:2">
      <c r="A9126" s="55"/>
      <c r="B9126"/>
    </row>
    <row r="9127" spans="1:2">
      <c r="A9127" s="55"/>
      <c r="B9127"/>
    </row>
    <row r="9128" spans="1:2">
      <c r="A9128" s="55"/>
      <c r="B9128"/>
    </row>
    <row r="9129" spans="1:2">
      <c r="A9129" s="55"/>
      <c r="B9129"/>
    </row>
    <row r="9130" spans="1:2">
      <c r="A9130" s="55"/>
      <c r="B9130"/>
    </row>
    <row r="9131" spans="1:2">
      <c r="A9131" s="55"/>
      <c r="B9131"/>
    </row>
    <row r="9132" spans="1:2">
      <c r="A9132" s="55"/>
      <c r="B9132"/>
    </row>
    <row r="9133" spans="1:2">
      <c r="A9133" s="55"/>
      <c r="B9133"/>
    </row>
    <row r="9134" spans="1:2">
      <c r="A9134" s="55"/>
      <c r="B9134"/>
    </row>
    <row r="9135" spans="1:2">
      <c r="A9135" s="55"/>
      <c r="B9135"/>
    </row>
    <row r="9136" spans="1:2">
      <c r="A9136" s="55"/>
      <c r="B9136"/>
    </row>
    <row r="9137" spans="1:2">
      <c r="A9137" s="55"/>
      <c r="B9137"/>
    </row>
    <row r="9138" spans="1:2">
      <c r="A9138" s="55"/>
      <c r="B9138"/>
    </row>
    <row r="9139" spans="1:2">
      <c r="A9139" s="55"/>
      <c r="B9139"/>
    </row>
    <row r="9140" spans="1:2">
      <c r="A9140" s="55"/>
      <c r="B9140"/>
    </row>
    <row r="9141" spans="1:2">
      <c r="A9141" s="55"/>
      <c r="B9141"/>
    </row>
    <row r="9142" spans="1:2">
      <c r="A9142" s="55"/>
      <c r="B9142"/>
    </row>
    <row r="9143" spans="1:2">
      <c r="A9143" s="55"/>
      <c r="B9143"/>
    </row>
    <row r="9144" spans="1:2">
      <c r="A9144" s="55"/>
      <c r="B9144"/>
    </row>
    <row r="9145" spans="1:2">
      <c r="A9145" s="55"/>
      <c r="B9145"/>
    </row>
    <row r="9146" spans="1:2">
      <c r="A9146" s="55"/>
      <c r="B9146"/>
    </row>
    <row r="9147" spans="1:2">
      <c r="A9147" s="55"/>
      <c r="B9147"/>
    </row>
    <row r="9148" spans="1:2">
      <c r="A9148" s="55"/>
      <c r="B9148"/>
    </row>
    <row r="9149" spans="1:2">
      <c r="A9149" s="55"/>
      <c r="B9149"/>
    </row>
    <row r="9150" spans="1:2">
      <c r="A9150" s="55"/>
      <c r="B9150"/>
    </row>
    <row r="9151" spans="1:2">
      <c r="A9151" s="55"/>
      <c r="B9151"/>
    </row>
    <row r="9152" spans="1:2">
      <c r="A9152" s="55"/>
      <c r="B9152"/>
    </row>
    <row r="9153" spans="1:2">
      <c r="A9153" s="55"/>
      <c r="B9153"/>
    </row>
    <row r="9154" spans="1:2">
      <c r="A9154" s="55"/>
      <c r="B9154"/>
    </row>
    <row r="9155" spans="1:2">
      <c r="A9155" s="55"/>
      <c r="B9155"/>
    </row>
    <row r="9156" spans="1:2">
      <c r="A9156" s="55"/>
      <c r="B9156"/>
    </row>
    <row r="9157" spans="1:2">
      <c r="A9157" s="55"/>
      <c r="B9157"/>
    </row>
    <row r="9158" spans="1:2">
      <c r="A9158" s="55"/>
      <c r="B9158"/>
    </row>
    <row r="9159" spans="1:2">
      <c r="A9159" s="55"/>
      <c r="B9159"/>
    </row>
    <row r="9160" spans="1:2">
      <c r="A9160" s="55"/>
      <c r="B9160"/>
    </row>
    <row r="9161" spans="1:2">
      <c r="A9161" s="55"/>
      <c r="B9161"/>
    </row>
    <row r="9162" spans="1:2">
      <c r="A9162" s="55"/>
      <c r="B9162"/>
    </row>
    <row r="9163" spans="1:2">
      <c r="A9163" s="55"/>
      <c r="B9163"/>
    </row>
    <row r="9164" spans="1:2">
      <c r="A9164" s="55"/>
      <c r="B9164"/>
    </row>
    <row r="9165" spans="1:2">
      <c r="A9165" s="55"/>
      <c r="B9165"/>
    </row>
    <row r="9166" spans="1:2">
      <c r="A9166" s="55"/>
      <c r="B9166"/>
    </row>
    <row r="9167" spans="1:2">
      <c r="A9167" s="55"/>
      <c r="B9167"/>
    </row>
    <row r="9168" spans="1:2">
      <c r="A9168" s="55"/>
      <c r="B9168"/>
    </row>
    <row r="9169" spans="1:2">
      <c r="A9169" s="55"/>
      <c r="B9169"/>
    </row>
    <row r="9170" spans="1:2">
      <c r="A9170" s="55"/>
      <c r="B9170"/>
    </row>
    <row r="9171" spans="1:2">
      <c r="A9171" s="55"/>
      <c r="B9171"/>
    </row>
    <row r="9172" spans="1:2">
      <c r="A9172" s="55"/>
      <c r="B9172"/>
    </row>
    <row r="9173" spans="1:2">
      <c r="A9173" s="55"/>
      <c r="B9173"/>
    </row>
    <row r="9174" spans="1:2">
      <c r="A9174" s="55"/>
      <c r="B9174"/>
    </row>
    <row r="9175" spans="1:2">
      <c r="A9175" s="55"/>
      <c r="B9175"/>
    </row>
    <row r="9176" spans="1:2">
      <c r="A9176" s="55"/>
      <c r="B9176"/>
    </row>
    <row r="9177" spans="1:2">
      <c r="A9177" s="55"/>
      <c r="B9177"/>
    </row>
    <row r="9178" spans="1:2">
      <c r="A9178" s="55"/>
      <c r="B9178"/>
    </row>
    <row r="9179" spans="1:2">
      <c r="A9179" s="55"/>
      <c r="B9179"/>
    </row>
    <row r="9180" spans="1:2">
      <c r="A9180" s="55"/>
      <c r="B9180"/>
    </row>
    <row r="9181" spans="1:2">
      <c r="A9181" s="55"/>
      <c r="B9181"/>
    </row>
    <row r="9182" spans="1:2">
      <c r="A9182" s="55"/>
      <c r="B9182"/>
    </row>
    <row r="9183" spans="1:2">
      <c r="A9183" s="55"/>
      <c r="B9183"/>
    </row>
    <row r="9184" spans="1:2">
      <c r="A9184" s="55"/>
      <c r="B9184"/>
    </row>
    <row r="9185" spans="1:2">
      <c r="A9185" s="55"/>
      <c r="B9185"/>
    </row>
    <row r="9186" spans="1:2">
      <c r="A9186" s="55"/>
      <c r="B9186"/>
    </row>
    <row r="9187" spans="1:2">
      <c r="A9187" s="55"/>
      <c r="B9187"/>
    </row>
    <row r="9188" spans="1:2">
      <c r="A9188" s="55"/>
      <c r="B9188"/>
    </row>
    <row r="9189" spans="1:2">
      <c r="A9189" s="55"/>
      <c r="B9189"/>
    </row>
    <row r="9190" spans="1:2">
      <c r="A9190" s="55"/>
      <c r="B9190"/>
    </row>
    <row r="9191" spans="1:2">
      <c r="A9191" s="55"/>
      <c r="B9191"/>
    </row>
    <row r="9192" spans="1:2">
      <c r="A9192" s="55"/>
      <c r="B9192"/>
    </row>
    <row r="9193" spans="1:2">
      <c r="A9193" s="55"/>
      <c r="B9193"/>
    </row>
    <row r="9194" spans="1:2">
      <c r="A9194" s="55"/>
      <c r="B9194"/>
    </row>
    <row r="9195" spans="1:2">
      <c r="A9195" s="55"/>
      <c r="B9195"/>
    </row>
    <row r="9196" spans="1:2">
      <c r="A9196" s="55"/>
      <c r="B9196"/>
    </row>
    <row r="9197" spans="1:2">
      <c r="A9197" s="55"/>
      <c r="B9197"/>
    </row>
    <row r="9198" spans="1:2">
      <c r="A9198" s="55"/>
      <c r="B9198"/>
    </row>
    <row r="9199" spans="1:2">
      <c r="A9199" s="55"/>
      <c r="B9199"/>
    </row>
    <row r="9200" spans="1:2">
      <c r="A9200" s="55"/>
      <c r="B9200"/>
    </row>
    <row r="9201" spans="1:2">
      <c r="A9201" s="55"/>
      <c r="B9201"/>
    </row>
    <row r="9202" spans="1:2">
      <c r="A9202" s="55"/>
      <c r="B9202"/>
    </row>
    <row r="9203" spans="1:2">
      <c r="A9203" s="55"/>
      <c r="B9203"/>
    </row>
    <row r="9204" spans="1:2">
      <c r="A9204" s="55"/>
      <c r="B9204"/>
    </row>
    <row r="9205" spans="1:2">
      <c r="A9205" s="55"/>
      <c r="B9205"/>
    </row>
    <row r="9206" spans="1:2">
      <c r="A9206" s="55"/>
      <c r="B9206"/>
    </row>
    <row r="9207" spans="1:2">
      <c r="A9207" s="55"/>
      <c r="B9207"/>
    </row>
    <row r="9208" spans="1:2">
      <c r="A9208" s="55"/>
      <c r="B9208"/>
    </row>
    <row r="9209" spans="1:2">
      <c r="A9209" s="55"/>
      <c r="B9209"/>
    </row>
    <row r="9210" spans="1:2">
      <c r="A9210" s="55"/>
      <c r="B9210"/>
    </row>
    <row r="9211" spans="1:2">
      <c r="A9211" s="55"/>
      <c r="B9211"/>
    </row>
    <row r="9212" spans="1:2">
      <c r="A9212" s="55"/>
      <c r="B9212"/>
    </row>
    <row r="9213" spans="1:2">
      <c r="A9213" s="55"/>
      <c r="B9213"/>
    </row>
    <row r="9214" spans="1:2">
      <c r="A9214" s="55"/>
      <c r="B9214"/>
    </row>
    <row r="9215" spans="1:2">
      <c r="A9215" s="55"/>
      <c r="B9215"/>
    </row>
    <row r="9216" spans="1:2">
      <c r="A9216" s="55"/>
      <c r="B9216"/>
    </row>
    <row r="9217" spans="1:2">
      <c r="A9217" s="55"/>
      <c r="B9217"/>
    </row>
    <row r="9218" spans="1:2">
      <c r="A9218" s="55"/>
      <c r="B9218"/>
    </row>
    <row r="9219" spans="1:2">
      <c r="A9219" s="55"/>
      <c r="B9219"/>
    </row>
    <row r="9220" spans="1:2">
      <c r="A9220" s="55"/>
      <c r="B9220"/>
    </row>
    <row r="9221" spans="1:2">
      <c r="A9221" s="55"/>
      <c r="B9221"/>
    </row>
    <row r="9222" spans="1:2">
      <c r="A9222" s="55"/>
      <c r="B9222"/>
    </row>
    <row r="9223" spans="1:2">
      <c r="A9223" s="55"/>
      <c r="B9223"/>
    </row>
    <row r="9224" spans="1:2">
      <c r="A9224" s="55"/>
      <c r="B9224"/>
    </row>
    <row r="9225" spans="1:2">
      <c r="A9225" s="55"/>
      <c r="B9225"/>
    </row>
    <row r="9226" spans="1:2">
      <c r="A9226" s="55"/>
      <c r="B9226"/>
    </row>
    <row r="9227" spans="1:2">
      <c r="A9227" s="55"/>
      <c r="B9227"/>
    </row>
    <row r="9228" spans="1:2">
      <c r="A9228" s="55"/>
      <c r="B9228"/>
    </row>
    <row r="9229" spans="1:2">
      <c r="A9229" s="55"/>
      <c r="B9229"/>
    </row>
    <row r="9230" spans="1:2">
      <c r="A9230" s="55"/>
      <c r="B9230"/>
    </row>
    <row r="9231" spans="1:2">
      <c r="A9231" s="55"/>
      <c r="B9231"/>
    </row>
    <row r="9232" spans="1:2">
      <c r="A9232" s="55"/>
      <c r="B9232"/>
    </row>
    <row r="9233" spans="1:2">
      <c r="A9233" s="55"/>
      <c r="B9233"/>
    </row>
    <row r="9234" spans="1:2">
      <c r="A9234" s="55"/>
      <c r="B9234"/>
    </row>
    <row r="9235" spans="1:2">
      <c r="A9235" s="55"/>
      <c r="B9235"/>
    </row>
    <row r="9236" spans="1:2">
      <c r="A9236" s="55"/>
      <c r="B9236"/>
    </row>
    <row r="9237" spans="1:2">
      <c r="A9237" s="55"/>
      <c r="B9237"/>
    </row>
    <row r="9238" spans="1:2">
      <c r="A9238" s="55"/>
      <c r="B9238"/>
    </row>
    <row r="9239" spans="1:2">
      <c r="A9239" s="55"/>
      <c r="B9239"/>
    </row>
    <row r="9240" spans="1:2">
      <c r="A9240" s="55"/>
      <c r="B9240"/>
    </row>
    <row r="9241" spans="1:2">
      <c r="A9241" s="55"/>
      <c r="B9241"/>
    </row>
    <row r="9242" spans="1:2">
      <c r="A9242" s="55"/>
      <c r="B9242"/>
    </row>
    <row r="9243" spans="1:2">
      <c r="A9243" s="55"/>
      <c r="B9243"/>
    </row>
    <row r="9244" spans="1:2">
      <c r="A9244" s="55"/>
      <c r="B9244"/>
    </row>
    <row r="9245" spans="1:2">
      <c r="A9245" s="55"/>
      <c r="B9245"/>
    </row>
    <row r="9246" spans="1:2">
      <c r="A9246" s="55"/>
      <c r="B9246"/>
    </row>
    <row r="9247" spans="1:2">
      <c r="A9247" s="55"/>
      <c r="B9247"/>
    </row>
    <row r="9248" spans="1:2">
      <c r="A9248" s="55"/>
      <c r="B9248"/>
    </row>
    <row r="9249" spans="1:2">
      <c r="A9249" s="55"/>
      <c r="B9249"/>
    </row>
    <row r="9250" spans="1:2">
      <c r="A9250" s="55"/>
      <c r="B9250"/>
    </row>
    <row r="9251" spans="1:2">
      <c r="A9251" s="55"/>
      <c r="B9251"/>
    </row>
    <row r="9252" spans="1:2">
      <c r="A9252" s="55"/>
      <c r="B9252"/>
    </row>
    <row r="9253" spans="1:2">
      <c r="A9253" s="55"/>
      <c r="B9253"/>
    </row>
    <row r="9254" spans="1:2">
      <c r="A9254" s="55"/>
      <c r="B9254"/>
    </row>
    <row r="9255" spans="1:2">
      <c r="A9255" s="55"/>
      <c r="B9255"/>
    </row>
    <row r="9256" spans="1:2">
      <c r="A9256" s="55"/>
      <c r="B9256"/>
    </row>
    <row r="9257" spans="1:2">
      <c r="A9257" s="55"/>
      <c r="B9257"/>
    </row>
    <row r="9258" spans="1:2">
      <c r="A9258" s="55"/>
      <c r="B9258"/>
    </row>
    <row r="9259" spans="1:2">
      <c r="A9259" s="55"/>
      <c r="B9259"/>
    </row>
    <row r="9260" spans="1:2">
      <c r="A9260" s="55"/>
      <c r="B9260"/>
    </row>
    <row r="9261" spans="1:2">
      <c r="A9261" s="55"/>
      <c r="B9261"/>
    </row>
    <row r="9262" spans="1:2">
      <c r="A9262" s="55"/>
      <c r="B9262"/>
    </row>
    <row r="9263" spans="1:2">
      <c r="A9263" s="55"/>
      <c r="B9263"/>
    </row>
    <row r="9264" spans="1:2">
      <c r="A9264" s="55"/>
      <c r="B9264"/>
    </row>
    <row r="9265" spans="1:2">
      <c r="A9265" s="55"/>
      <c r="B9265"/>
    </row>
    <row r="9266" spans="1:2">
      <c r="A9266" s="55"/>
      <c r="B9266"/>
    </row>
    <row r="9267" spans="1:2">
      <c r="A9267" s="55"/>
      <c r="B9267"/>
    </row>
    <row r="9268" spans="1:2">
      <c r="A9268" s="55"/>
      <c r="B9268"/>
    </row>
    <row r="9269" spans="1:2">
      <c r="A9269" s="55"/>
      <c r="B9269"/>
    </row>
    <row r="9270" spans="1:2">
      <c r="A9270" s="55"/>
      <c r="B9270"/>
    </row>
    <row r="9271" spans="1:2">
      <c r="A9271" s="55"/>
      <c r="B9271"/>
    </row>
    <row r="9272" spans="1:2">
      <c r="A9272" s="55"/>
      <c r="B9272"/>
    </row>
    <row r="9273" spans="1:2">
      <c r="A9273" s="55"/>
      <c r="B9273"/>
    </row>
    <row r="9274" spans="1:2">
      <c r="A9274" s="55"/>
      <c r="B9274"/>
    </row>
    <row r="9275" spans="1:2">
      <c r="A9275" s="55"/>
      <c r="B9275"/>
    </row>
    <row r="9276" spans="1:2">
      <c r="A9276" s="55"/>
      <c r="B9276"/>
    </row>
    <row r="9277" spans="1:2">
      <c r="A9277" s="55"/>
      <c r="B9277"/>
    </row>
    <row r="9278" spans="1:2">
      <c r="A9278" s="55"/>
      <c r="B9278"/>
    </row>
    <row r="9279" spans="1:2">
      <c r="A9279" s="55"/>
      <c r="B9279"/>
    </row>
    <row r="9280" spans="1:2">
      <c r="A9280" s="55"/>
      <c r="B9280"/>
    </row>
    <row r="9281" spans="1:2">
      <c r="A9281" s="55"/>
      <c r="B9281"/>
    </row>
    <row r="9282" spans="1:2">
      <c r="A9282" s="55"/>
      <c r="B9282"/>
    </row>
    <row r="9283" spans="1:2">
      <c r="A9283" s="55"/>
      <c r="B9283"/>
    </row>
    <row r="9284" spans="1:2">
      <c r="A9284" s="55"/>
      <c r="B9284"/>
    </row>
    <row r="9285" spans="1:2">
      <c r="A9285" s="55"/>
      <c r="B9285"/>
    </row>
    <row r="9286" spans="1:2">
      <c r="A9286" s="55"/>
      <c r="B9286"/>
    </row>
    <row r="9287" spans="1:2">
      <c r="A9287" s="55"/>
      <c r="B9287"/>
    </row>
    <row r="9288" spans="1:2">
      <c r="A9288" s="55"/>
      <c r="B9288"/>
    </row>
    <row r="9289" spans="1:2">
      <c r="A9289" s="55"/>
      <c r="B9289"/>
    </row>
    <row r="9290" spans="1:2">
      <c r="A9290" s="55"/>
      <c r="B9290"/>
    </row>
    <row r="9291" spans="1:2">
      <c r="A9291" s="55"/>
      <c r="B9291"/>
    </row>
    <row r="9292" spans="1:2">
      <c r="A9292" s="55"/>
      <c r="B9292"/>
    </row>
    <row r="9293" spans="1:2">
      <c r="A9293" s="55"/>
      <c r="B9293"/>
    </row>
    <row r="9294" spans="1:2">
      <c r="A9294" s="55"/>
      <c r="B9294"/>
    </row>
    <row r="9295" spans="1:2">
      <c r="A9295" s="55"/>
      <c r="B9295"/>
    </row>
    <row r="9296" spans="1:2">
      <c r="A9296" s="55"/>
      <c r="B9296"/>
    </row>
    <row r="9297" spans="1:2">
      <c r="A9297" s="55"/>
      <c r="B9297"/>
    </row>
    <row r="9298" spans="1:2">
      <c r="A9298" s="55"/>
      <c r="B9298"/>
    </row>
    <row r="9299" spans="1:2">
      <c r="A9299" s="55"/>
      <c r="B9299"/>
    </row>
    <row r="9300" spans="1:2">
      <c r="A9300" s="55"/>
      <c r="B9300"/>
    </row>
    <row r="9301" spans="1:2">
      <c r="A9301" s="55"/>
      <c r="B9301"/>
    </row>
    <row r="9302" spans="1:2">
      <c r="A9302" s="55"/>
      <c r="B9302"/>
    </row>
    <row r="9303" spans="1:2">
      <c r="A9303" s="55"/>
      <c r="B9303"/>
    </row>
    <row r="9304" spans="1:2">
      <c r="A9304" s="55"/>
      <c r="B9304"/>
    </row>
    <row r="9305" spans="1:2">
      <c r="A9305" s="55"/>
      <c r="B9305"/>
    </row>
    <row r="9306" spans="1:2">
      <c r="A9306" s="55"/>
      <c r="B9306"/>
    </row>
    <row r="9307" spans="1:2">
      <c r="A9307" s="55"/>
      <c r="B9307"/>
    </row>
    <row r="9308" spans="1:2">
      <c r="A9308" s="55"/>
      <c r="B9308"/>
    </row>
    <row r="9309" spans="1:2">
      <c r="A9309" s="55"/>
      <c r="B9309"/>
    </row>
    <row r="9310" spans="1:2">
      <c r="A9310" s="55"/>
      <c r="B9310"/>
    </row>
    <row r="9311" spans="1:2">
      <c r="A9311" s="55"/>
      <c r="B9311"/>
    </row>
    <row r="9312" spans="1:2">
      <c r="A9312" s="55"/>
      <c r="B9312"/>
    </row>
    <row r="9313" spans="1:2">
      <c r="A9313" s="55"/>
      <c r="B9313"/>
    </row>
    <row r="9314" spans="1:2">
      <c r="A9314" s="55"/>
      <c r="B9314"/>
    </row>
    <row r="9315" spans="1:2">
      <c r="A9315" s="55"/>
      <c r="B9315"/>
    </row>
    <row r="9316" spans="1:2">
      <c r="A9316" s="55"/>
      <c r="B9316"/>
    </row>
    <row r="9317" spans="1:2">
      <c r="A9317" s="55"/>
      <c r="B9317"/>
    </row>
    <row r="9318" spans="1:2">
      <c r="A9318" s="55"/>
      <c r="B9318"/>
    </row>
    <row r="9319" spans="1:2">
      <c r="A9319" s="55"/>
      <c r="B9319"/>
    </row>
    <row r="9320" spans="1:2">
      <c r="A9320" s="55"/>
      <c r="B9320"/>
    </row>
    <row r="9321" spans="1:2">
      <c r="A9321" s="55"/>
      <c r="B9321"/>
    </row>
    <row r="9322" spans="1:2">
      <c r="A9322" s="55"/>
      <c r="B9322"/>
    </row>
    <row r="9323" spans="1:2">
      <c r="A9323" s="55"/>
      <c r="B9323"/>
    </row>
    <row r="9324" spans="1:2">
      <c r="A9324" s="55"/>
      <c r="B9324"/>
    </row>
    <row r="9325" spans="1:2">
      <c r="A9325" s="55"/>
      <c r="B9325"/>
    </row>
    <row r="9326" spans="1:2">
      <c r="A9326" s="55"/>
      <c r="B9326"/>
    </row>
    <row r="9327" spans="1:2">
      <c r="A9327" s="55"/>
      <c r="B9327"/>
    </row>
    <row r="9328" spans="1:2">
      <c r="A9328" s="55"/>
      <c r="B9328"/>
    </row>
    <row r="9329" spans="1:2">
      <c r="A9329" s="55"/>
      <c r="B9329"/>
    </row>
    <row r="9330" spans="1:2">
      <c r="A9330" s="55"/>
      <c r="B9330"/>
    </row>
    <row r="9331" spans="1:2">
      <c r="A9331" s="55"/>
      <c r="B9331"/>
    </row>
    <row r="9332" spans="1:2">
      <c r="A9332" s="55"/>
      <c r="B9332"/>
    </row>
    <row r="9333" spans="1:2">
      <c r="A9333" s="55"/>
      <c r="B9333"/>
    </row>
    <row r="9334" spans="1:2">
      <c r="A9334" s="55"/>
      <c r="B9334"/>
    </row>
    <row r="9335" spans="1:2">
      <c r="A9335" s="55"/>
      <c r="B9335"/>
    </row>
    <row r="9336" spans="1:2">
      <c r="A9336" s="55"/>
      <c r="B9336"/>
    </row>
    <row r="9337" spans="1:2">
      <c r="A9337" s="55"/>
      <c r="B9337"/>
    </row>
    <row r="9338" spans="1:2">
      <c r="A9338" s="55"/>
      <c r="B9338"/>
    </row>
    <row r="9339" spans="1:2">
      <c r="A9339" s="55"/>
      <c r="B9339"/>
    </row>
    <row r="9340" spans="1:2">
      <c r="A9340" s="55"/>
      <c r="B9340"/>
    </row>
    <row r="9341" spans="1:2">
      <c r="A9341" s="55"/>
      <c r="B9341"/>
    </row>
    <row r="9342" spans="1:2">
      <c r="A9342" s="55"/>
      <c r="B9342"/>
    </row>
    <row r="9343" spans="1:2">
      <c r="A9343" s="55"/>
      <c r="B9343"/>
    </row>
    <row r="9344" spans="1:2">
      <c r="A9344" s="55"/>
      <c r="B9344"/>
    </row>
    <row r="9345" spans="1:2">
      <c r="A9345" s="55"/>
      <c r="B9345"/>
    </row>
    <row r="9346" spans="1:2">
      <c r="A9346" s="55"/>
      <c r="B9346"/>
    </row>
    <row r="9347" spans="1:2">
      <c r="A9347" s="55"/>
      <c r="B9347"/>
    </row>
    <row r="9348" spans="1:2">
      <c r="A9348" s="55"/>
      <c r="B9348"/>
    </row>
    <row r="9349" spans="1:2">
      <c r="A9349" s="55"/>
      <c r="B9349"/>
    </row>
    <row r="9350" spans="1:2">
      <c r="A9350" s="55"/>
      <c r="B9350"/>
    </row>
    <row r="9351" spans="1:2">
      <c r="A9351" s="55"/>
      <c r="B9351"/>
    </row>
    <row r="9352" spans="1:2">
      <c r="A9352" s="55"/>
      <c r="B9352"/>
    </row>
    <row r="9353" spans="1:2">
      <c r="A9353" s="55"/>
      <c r="B9353"/>
    </row>
    <row r="9354" spans="1:2">
      <c r="A9354" s="55"/>
      <c r="B9354"/>
    </row>
    <row r="9355" spans="1:2">
      <c r="A9355" s="55"/>
      <c r="B9355"/>
    </row>
    <row r="9356" spans="1:2">
      <c r="A9356" s="55"/>
      <c r="B9356"/>
    </row>
    <row r="9357" spans="1:2">
      <c r="A9357" s="55"/>
      <c r="B9357"/>
    </row>
    <row r="9358" spans="1:2">
      <c r="A9358" s="55"/>
      <c r="B9358"/>
    </row>
    <row r="9359" spans="1:2">
      <c r="A9359" s="55"/>
      <c r="B9359"/>
    </row>
    <row r="9360" spans="1:2">
      <c r="A9360" s="55"/>
      <c r="B9360"/>
    </row>
    <row r="9361" spans="1:2">
      <c r="A9361" s="55"/>
      <c r="B9361"/>
    </row>
    <row r="9362" spans="1:2">
      <c r="A9362" s="55"/>
      <c r="B9362"/>
    </row>
    <row r="9363" spans="1:2">
      <c r="A9363" s="55"/>
      <c r="B9363"/>
    </row>
    <row r="9364" spans="1:2">
      <c r="A9364" s="55"/>
      <c r="B9364"/>
    </row>
    <row r="9365" spans="1:2">
      <c r="A9365" s="55"/>
      <c r="B9365"/>
    </row>
    <row r="9366" spans="1:2">
      <c r="A9366" s="55"/>
      <c r="B9366"/>
    </row>
    <row r="9367" spans="1:2">
      <c r="A9367" s="55"/>
      <c r="B9367"/>
    </row>
    <row r="9368" spans="1:2">
      <c r="A9368" s="55"/>
      <c r="B9368"/>
    </row>
    <row r="9369" spans="1:2">
      <c r="A9369" s="55"/>
      <c r="B9369"/>
    </row>
    <row r="9370" spans="1:2">
      <c r="A9370" s="55"/>
      <c r="B9370"/>
    </row>
    <row r="9371" spans="1:2">
      <c r="A9371" s="55"/>
      <c r="B9371"/>
    </row>
    <row r="9372" spans="1:2">
      <c r="A9372" s="55"/>
      <c r="B9372"/>
    </row>
    <row r="9373" spans="1:2">
      <c r="A9373" s="55"/>
      <c r="B9373"/>
    </row>
    <row r="9374" spans="1:2">
      <c r="A9374" s="55"/>
      <c r="B9374"/>
    </row>
    <row r="9375" spans="1:2">
      <c r="A9375" s="55"/>
      <c r="B9375"/>
    </row>
    <row r="9376" spans="1:2">
      <c r="A9376" s="55"/>
      <c r="B9376"/>
    </row>
    <row r="9377" spans="1:2">
      <c r="A9377" s="55"/>
      <c r="B9377"/>
    </row>
    <row r="9378" spans="1:2">
      <c r="A9378" s="55"/>
      <c r="B9378"/>
    </row>
    <row r="9379" spans="1:2">
      <c r="A9379" s="55"/>
      <c r="B9379"/>
    </row>
    <row r="9380" spans="1:2">
      <c r="A9380" s="55"/>
      <c r="B9380"/>
    </row>
    <row r="9381" spans="1:2">
      <c r="A9381" s="55"/>
      <c r="B9381"/>
    </row>
    <row r="9382" spans="1:2">
      <c r="A9382" s="55"/>
      <c r="B9382"/>
    </row>
    <row r="9383" spans="1:2">
      <c r="A9383" s="55"/>
      <c r="B9383"/>
    </row>
    <row r="9384" spans="1:2">
      <c r="A9384" s="55"/>
      <c r="B9384"/>
    </row>
    <row r="9385" spans="1:2">
      <c r="A9385" s="55"/>
      <c r="B9385"/>
    </row>
    <row r="9386" spans="1:2">
      <c r="A9386" s="55"/>
      <c r="B9386"/>
    </row>
    <row r="9387" spans="1:2">
      <c r="A9387" s="55"/>
      <c r="B9387"/>
    </row>
    <row r="9388" spans="1:2">
      <c r="A9388" s="55"/>
      <c r="B9388"/>
    </row>
    <row r="9389" spans="1:2">
      <c r="A9389" s="55"/>
      <c r="B9389"/>
    </row>
    <row r="9390" spans="1:2">
      <c r="A9390" s="55"/>
      <c r="B9390"/>
    </row>
    <row r="9391" spans="1:2">
      <c r="A9391" s="55"/>
      <c r="B9391"/>
    </row>
    <row r="9392" spans="1:2">
      <c r="A9392" s="55"/>
      <c r="B9392"/>
    </row>
    <row r="9393" spans="1:2">
      <c r="A9393" s="55"/>
      <c r="B9393"/>
    </row>
    <row r="9394" spans="1:2">
      <c r="A9394" s="55"/>
      <c r="B9394"/>
    </row>
    <row r="9395" spans="1:2">
      <c r="A9395" s="55"/>
      <c r="B9395"/>
    </row>
    <row r="9396" spans="1:2">
      <c r="A9396" s="55"/>
      <c r="B9396"/>
    </row>
    <row r="9397" spans="1:2">
      <c r="A9397" s="55"/>
      <c r="B9397"/>
    </row>
    <row r="9398" spans="1:2">
      <c r="A9398" s="55"/>
      <c r="B9398"/>
    </row>
    <row r="9399" spans="1:2">
      <c r="A9399" s="55"/>
      <c r="B9399"/>
    </row>
    <row r="9400" spans="1:2">
      <c r="A9400" s="55"/>
      <c r="B9400"/>
    </row>
    <row r="9401" spans="1:2">
      <c r="A9401" s="55"/>
      <c r="B9401"/>
    </row>
    <row r="9402" spans="1:2">
      <c r="A9402" s="55"/>
      <c r="B9402"/>
    </row>
    <row r="9403" spans="1:2">
      <c r="A9403" s="55"/>
      <c r="B9403"/>
    </row>
    <row r="9404" spans="1:2">
      <c r="A9404" s="55"/>
      <c r="B9404"/>
    </row>
    <row r="9405" spans="1:2">
      <c r="A9405" s="55"/>
      <c r="B9405"/>
    </row>
    <row r="9406" spans="1:2">
      <c r="A9406" s="55"/>
      <c r="B9406"/>
    </row>
    <row r="9407" spans="1:2">
      <c r="A9407" s="55"/>
      <c r="B9407"/>
    </row>
    <row r="9408" spans="1:2">
      <c r="A9408" s="55"/>
      <c r="B9408"/>
    </row>
    <row r="9409" spans="1:2">
      <c r="A9409" s="55"/>
      <c r="B9409"/>
    </row>
    <row r="9410" spans="1:2">
      <c r="A9410" s="55"/>
      <c r="B9410"/>
    </row>
    <row r="9411" spans="1:2">
      <c r="A9411" s="55"/>
      <c r="B9411"/>
    </row>
    <row r="9412" spans="1:2">
      <c r="A9412" s="55"/>
      <c r="B9412"/>
    </row>
    <row r="9413" spans="1:2">
      <c r="A9413" s="55"/>
      <c r="B9413"/>
    </row>
    <row r="9414" spans="1:2">
      <c r="A9414" s="55"/>
      <c r="B9414"/>
    </row>
    <row r="9415" spans="1:2">
      <c r="A9415" s="55"/>
      <c r="B9415"/>
    </row>
    <row r="9416" spans="1:2">
      <c r="A9416" s="55"/>
      <c r="B9416"/>
    </row>
    <row r="9417" spans="1:2">
      <c r="A9417" s="55"/>
      <c r="B9417"/>
    </row>
    <row r="9418" spans="1:2">
      <c r="A9418" s="55"/>
      <c r="B9418"/>
    </row>
    <row r="9419" spans="1:2">
      <c r="A9419" s="55"/>
      <c r="B9419"/>
    </row>
    <row r="9420" spans="1:2">
      <c r="A9420" s="55"/>
      <c r="B9420"/>
    </row>
    <row r="9421" spans="1:2">
      <c r="A9421" s="55"/>
      <c r="B9421"/>
    </row>
    <row r="9422" spans="1:2">
      <c r="A9422" s="55"/>
      <c r="B9422"/>
    </row>
    <row r="9423" spans="1:2">
      <c r="A9423" s="55"/>
      <c r="B9423"/>
    </row>
    <row r="9424" spans="1:2">
      <c r="A9424" s="55"/>
      <c r="B9424"/>
    </row>
    <row r="9425" spans="1:2">
      <c r="A9425" s="55"/>
      <c r="B9425"/>
    </row>
    <row r="9426" spans="1:2">
      <c r="A9426" s="55"/>
      <c r="B9426"/>
    </row>
    <row r="9427" spans="1:2">
      <c r="A9427" s="55"/>
      <c r="B9427"/>
    </row>
    <row r="9428" spans="1:2">
      <c r="A9428" s="55"/>
      <c r="B9428"/>
    </row>
    <row r="9429" spans="1:2">
      <c r="A9429" s="55"/>
      <c r="B9429"/>
    </row>
    <row r="9430" spans="1:2">
      <c r="A9430" s="55"/>
      <c r="B9430"/>
    </row>
    <row r="9431" spans="1:2">
      <c r="A9431" s="55"/>
      <c r="B9431"/>
    </row>
    <row r="9432" spans="1:2">
      <c r="A9432" s="55"/>
      <c r="B9432"/>
    </row>
    <row r="9433" spans="1:2">
      <c r="A9433" s="55"/>
      <c r="B9433"/>
    </row>
    <row r="9434" spans="1:2">
      <c r="A9434" s="55"/>
      <c r="B9434"/>
    </row>
    <row r="9435" spans="1:2">
      <c r="A9435" s="55"/>
      <c r="B9435"/>
    </row>
    <row r="9436" spans="1:2">
      <c r="A9436" s="55"/>
      <c r="B9436"/>
    </row>
    <row r="9437" spans="1:2">
      <c r="A9437" s="55"/>
      <c r="B9437"/>
    </row>
    <row r="9438" spans="1:2">
      <c r="A9438" s="55"/>
      <c r="B9438"/>
    </row>
    <row r="9439" spans="1:2">
      <c r="A9439" s="55"/>
      <c r="B9439"/>
    </row>
    <row r="9440" spans="1:2">
      <c r="A9440" s="55"/>
      <c r="B9440"/>
    </row>
    <row r="9441" spans="1:2">
      <c r="A9441" s="55"/>
      <c r="B9441"/>
    </row>
    <row r="9442" spans="1:2">
      <c r="A9442" s="55"/>
      <c r="B9442"/>
    </row>
    <row r="9443" spans="1:2">
      <c r="A9443" s="55"/>
      <c r="B9443"/>
    </row>
    <row r="9444" spans="1:2">
      <c r="A9444" s="55"/>
      <c r="B9444"/>
    </row>
    <row r="9445" spans="1:2">
      <c r="A9445" s="55"/>
      <c r="B9445"/>
    </row>
    <row r="9446" spans="1:2">
      <c r="A9446" s="55"/>
      <c r="B9446"/>
    </row>
    <row r="9447" spans="1:2">
      <c r="A9447" s="55"/>
      <c r="B9447"/>
    </row>
    <row r="9448" spans="1:2">
      <c r="A9448" s="55"/>
      <c r="B9448"/>
    </row>
    <row r="9449" spans="1:2">
      <c r="A9449" s="55"/>
      <c r="B9449"/>
    </row>
    <row r="9450" spans="1:2">
      <c r="A9450" s="55"/>
      <c r="B9450"/>
    </row>
    <row r="9451" spans="1:2">
      <c r="A9451" s="55"/>
      <c r="B9451"/>
    </row>
    <row r="9452" spans="1:2">
      <c r="A9452" s="55"/>
      <c r="B9452"/>
    </row>
    <row r="9453" spans="1:2">
      <c r="A9453" s="55"/>
      <c r="B9453"/>
    </row>
    <row r="9454" spans="1:2">
      <c r="A9454" s="55"/>
      <c r="B9454"/>
    </row>
    <row r="9455" spans="1:2">
      <c r="A9455" s="55"/>
      <c r="B9455"/>
    </row>
    <row r="9456" spans="1:2">
      <c r="A9456" s="55"/>
      <c r="B9456"/>
    </row>
    <row r="9457" spans="1:2">
      <c r="A9457" s="55"/>
      <c r="B9457"/>
    </row>
    <row r="9458" spans="1:2">
      <c r="A9458" s="55"/>
      <c r="B9458"/>
    </row>
    <row r="9459" spans="1:2">
      <c r="A9459" s="55"/>
      <c r="B9459"/>
    </row>
    <row r="9460" spans="1:2">
      <c r="A9460" s="55"/>
      <c r="B9460"/>
    </row>
    <row r="9461" spans="1:2">
      <c r="A9461" s="55"/>
      <c r="B9461"/>
    </row>
    <row r="9462" spans="1:2">
      <c r="A9462" s="55"/>
      <c r="B9462"/>
    </row>
    <row r="9463" spans="1:2">
      <c r="A9463" s="55"/>
      <c r="B9463"/>
    </row>
    <row r="9464" spans="1:2">
      <c r="A9464" s="55"/>
      <c r="B9464"/>
    </row>
    <row r="9465" spans="1:2">
      <c r="A9465" s="55"/>
      <c r="B9465"/>
    </row>
    <row r="9466" spans="1:2">
      <c r="A9466" s="55"/>
      <c r="B9466"/>
    </row>
    <row r="9467" spans="1:2">
      <c r="A9467" s="55"/>
      <c r="B9467"/>
    </row>
    <row r="9468" spans="1:2">
      <c r="A9468" s="55"/>
      <c r="B9468"/>
    </row>
    <row r="9469" spans="1:2">
      <c r="A9469" s="55"/>
      <c r="B9469"/>
    </row>
    <row r="9470" spans="1:2">
      <c r="A9470" s="55"/>
      <c r="B9470"/>
    </row>
    <row r="9471" spans="1:2">
      <c r="A9471" s="55"/>
      <c r="B9471"/>
    </row>
    <row r="9472" spans="1:2">
      <c r="A9472" s="55"/>
      <c r="B9472"/>
    </row>
    <row r="9473" spans="1:2">
      <c r="A9473" s="55"/>
      <c r="B9473"/>
    </row>
    <row r="9474" spans="1:2">
      <c r="A9474" s="55"/>
      <c r="B9474"/>
    </row>
    <row r="9475" spans="1:2">
      <c r="A9475" s="55"/>
      <c r="B9475"/>
    </row>
    <row r="9476" spans="1:2">
      <c r="A9476" s="55"/>
      <c r="B9476"/>
    </row>
    <row r="9477" spans="1:2">
      <c r="A9477" s="55"/>
      <c r="B9477"/>
    </row>
    <row r="9478" spans="1:2">
      <c r="A9478" s="55"/>
      <c r="B9478"/>
    </row>
    <row r="9479" spans="1:2">
      <c r="A9479" s="55"/>
      <c r="B9479"/>
    </row>
    <row r="9480" spans="1:2">
      <c r="A9480" s="55"/>
      <c r="B9480"/>
    </row>
    <row r="9481" spans="1:2">
      <c r="A9481" s="55"/>
      <c r="B9481"/>
    </row>
    <row r="9482" spans="1:2">
      <c r="A9482" s="55"/>
      <c r="B9482"/>
    </row>
    <row r="9483" spans="1:2">
      <c r="A9483" s="55"/>
      <c r="B9483"/>
    </row>
    <row r="9484" spans="1:2">
      <c r="A9484" s="55"/>
      <c r="B9484"/>
    </row>
    <row r="9485" spans="1:2">
      <c r="A9485" s="55"/>
      <c r="B9485"/>
    </row>
    <row r="9486" spans="1:2">
      <c r="A9486" s="55"/>
      <c r="B9486"/>
    </row>
    <row r="9487" spans="1:2">
      <c r="A9487" s="55"/>
      <c r="B9487"/>
    </row>
    <row r="9488" spans="1:2">
      <c r="A9488" s="55"/>
      <c r="B9488"/>
    </row>
    <row r="9489" spans="1:2">
      <c r="A9489" s="55"/>
      <c r="B9489"/>
    </row>
    <row r="9490" spans="1:2">
      <c r="A9490" s="55"/>
      <c r="B9490"/>
    </row>
    <row r="9491" spans="1:2">
      <c r="A9491" s="55"/>
      <c r="B9491"/>
    </row>
    <row r="9492" spans="1:2">
      <c r="A9492" s="55"/>
      <c r="B9492"/>
    </row>
    <row r="9493" spans="1:2">
      <c r="A9493" s="55"/>
      <c r="B9493"/>
    </row>
    <row r="9494" spans="1:2">
      <c r="A9494" s="55"/>
      <c r="B9494"/>
    </row>
    <row r="9495" spans="1:2">
      <c r="A9495" s="55"/>
      <c r="B9495"/>
    </row>
    <row r="9496" spans="1:2">
      <c r="A9496" s="55"/>
      <c r="B9496"/>
    </row>
    <row r="9497" spans="1:2">
      <c r="A9497" s="55"/>
      <c r="B9497"/>
    </row>
    <row r="9498" spans="1:2">
      <c r="A9498" s="55"/>
      <c r="B9498"/>
    </row>
    <row r="9499" spans="1:2">
      <c r="A9499" s="55"/>
      <c r="B9499"/>
    </row>
    <row r="9500" spans="1:2">
      <c r="A9500" s="55"/>
      <c r="B9500"/>
    </row>
    <row r="9501" spans="1:2">
      <c r="A9501" s="55"/>
      <c r="B9501"/>
    </row>
    <row r="9502" spans="1:2">
      <c r="A9502" s="55"/>
      <c r="B9502"/>
    </row>
    <row r="9503" spans="1:2">
      <c r="A9503" s="55"/>
      <c r="B9503"/>
    </row>
    <row r="9504" spans="1:2">
      <c r="A9504" s="55"/>
      <c r="B9504"/>
    </row>
    <row r="9505" spans="1:2">
      <c r="A9505" s="55"/>
      <c r="B9505"/>
    </row>
    <row r="9506" spans="1:2">
      <c r="A9506" s="55"/>
      <c r="B9506"/>
    </row>
    <row r="9507" spans="1:2">
      <c r="A9507" s="55"/>
      <c r="B9507"/>
    </row>
    <row r="9508" spans="1:2">
      <c r="A9508" s="55"/>
      <c r="B9508"/>
    </row>
    <row r="9509" spans="1:2">
      <c r="A9509" s="55"/>
      <c r="B9509"/>
    </row>
    <row r="9510" spans="1:2">
      <c r="A9510" s="55"/>
      <c r="B9510"/>
    </row>
    <row r="9511" spans="1:2">
      <c r="A9511" s="55"/>
      <c r="B9511"/>
    </row>
    <row r="9512" spans="1:2">
      <c r="A9512" s="55"/>
      <c r="B9512"/>
    </row>
    <row r="9513" spans="1:2">
      <c r="A9513" s="55"/>
      <c r="B9513"/>
    </row>
    <row r="9514" spans="1:2">
      <c r="A9514" s="55"/>
      <c r="B9514"/>
    </row>
    <row r="9515" spans="1:2">
      <c r="A9515" s="55"/>
      <c r="B9515"/>
    </row>
    <row r="9516" spans="1:2">
      <c r="A9516" s="55"/>
      <c r="B9516"/>
    </row>
    <row r="9517" spans="1:2">
      <c r="A9517" s="55"/>
      <c r="B9517"/>
    </row>
    <row r="9518" spans="1:2">
      <c r="A9518" s="55"/>
      <c r="B9518"/>
    </row>
    <row r="9519" spans="1:2">
      <c r="A9519" s="55"/>
      <c r="B9519"/>
    </row>
    <row r="9520" spans="1:2">
      <c r="A9520" s="55"/>
      <c r="B9520"/>
    </row>
    <row r="9521" spans="1:2">
      <c r="A9521" s="55"/>
      <c r="B9521"/>
    </row>
    <row r="9522" spans="1:2">
      <c r="A9522" s="55"/>
      <c r="B9522"/>
    </row>
    <row r="9523" spans="1:2">
      <c r="A9523" s="55"/>
      <c r="B9523"/>
    </row>
    <row r="9524" spans="1:2">
      <c r="A9524" s="55"/>
      <c r="B9524"/>
    </row>
    <row r="9525" spans="1:2">
      <c r="A9525" s="55"/>
      <c r="B9525"/>
    </row>
    <row r="9526" spans="1:2">
      <c r="A9526" s="55"/>
      <c r="B9526"/>
    </row>
    <row r="9527" spans="1:2">
      <c r="A9527" s="55"/>
      <c r="B9527"/>
    </row>
    <row r="9528" spans="1:2">
      <c r="A9528" s="55"/>
      <c r="B9528"/>
    </row>
    <row r="9529" spans="1:2">
      <c r="A9529" s="55"/>
      <c r="B9529"/>
    </row>
    <row r="9530" spans="1:2">
      <c r="A9530" s="55"/>
      <c r="B9530"/>
    </row>
    <row r="9531" spans="1:2">
      <c r="A9531" s="55"/>
      <c r="B9531"/>
    </row>
    <row r="9532" spans="1:2">
      <c r="A9532" s="55"/>
      <c r="B9532"/>
    </row>
    <row r="9533" spans="1:2">
      <c r="A9533" s="55"/>
      <c r="B9533"/>
    </row>
    <row r="9534" spans="1:2">
      <c r="A9534" s="55"/>
      <c r="B9534"/>
    </row>
    <row r="9535" spans="1:2">
      <c r="A9535" s="55"/>
      <c r="B9535"/>
    </row>
    <row r="9536" spans="1:2">
      <c r="A9536" s="55"/>
      <c r="B9536"/>
    </row>
    <row r="9537" spans="1:2">
      <c r="A9537" s="55"/>
      <c r="B9537"/>
    </row>
    <row r="9538" spans="1:2">
      <c r="A9538" s="55"/>
      <c r="B9538"/>
    </row>
    <row r="9539" spans="1:2">
      <c r="A9539" s="55"/>
      <c r="B9539"/>
    </row>
    <row r="9540" spans="1:2">
      <c r="A9540" s="55"/>
      <c r="B9540"/>
    </row>
    <row r="9541" spans="1:2">
      <c r="A9541" s="55"/>
      <c r="B9541"/>
    </row>
    <row r="9542" spans="1:2">
      <c r="A9542" s="55"/>
      <c r="B9542"/>
    </row>
    <row r="9543" spans="1:2">
      <c r="A9543" s="55"/>
      <c r="B9543"/>
    </row>
    <row r="9544" spans="1:2">
      <c r="A9544" s="55"/>
      <c r="B9544"/>
    </row>
    <row r="9545" spans="1:2">
      <c r="A9545" s="55"/>
      <c r="B9545"/>
    </row>
    <row r="9546" spans="1:2">
      <c r="A9546" s="55"/>
      <c r="B9546"/>
    </row>
    <row r="9547" spans="1:2">
      <c r="A9547" s="55"/>
      <c r="B9547"/>
    </row>
    <row r="9548" spans="1:2">
      <c r="A9548" s="55"/>
      <c r="B9548"/>
    </row>
    <row r="9549" spans="1:2">
      <c r="A9549" s="55"/>
      <c r="B9549"/>
    </row>
    <row r="9550" spans="1:2">
      <c r="A9550" s="55"/>
      <c r="B9550"/>
    </row>
    <row r="9551" spans="1:2">
      <c r="A9551" s="55"/>
      <c r="B9551"/>
    </row>
    <row r="9552" spans="1:2">
      <c r="A9552" s="55"/>
      <c r="B9552"/>
    </row>
    <row r="9553" spans="1:2">
      <c r="A9553" s="55"/>
      <c r="B9553"/>
    </row>
    <row r="9554" spans="1:2">
      <c r="A9554" s="55"/>
      <c r="B9554"/>
    </row>
    <row r="9555" spans="1:2">
      <c r="A9555" s="55"/>
      <c r="B9555"/>
    </row>
    <row r="9556" spans="1:2">
      <c r="A9556" s="55"/>
      <c r="B9556"/>
    </row>
    <row r="9557" spans="1:2">
      <c r="A9557" s="55"/>
      <c r="B9557"/>
    </row>
    <row r="9558" spans="1:2">
      <c r="A9558" s="55"/>
      <c r="B9558"/>
    </row>
    <row r="9559" spans="1:2">
      <c r="A9559" s="55"/>
      <c r="B9559"/>
    </row>
    <row r="9560" spans="1:2">
      <c r="A9560" s="55"/>
      <c r="B9560"/>
    </row>
    <row r="9561" spans="1:2">
      <c r="A9561" s="55"/>
      <c r="B9561"/>
    </row>
    <row r="9562" spans="1:2">
      <c r="A9562" s="55"/>
      <c r="B9562"/>
    </row>
    <row r="9563" spans="1:2">
      <c r="A9563" s="55"/>
      <c r="B9563"/>
    </row>
    <row r="9564" spans="1:2">
      <c r="A9564" s="55"/>
      <c r="B9564"/>
    </row>
    <row r="9565" spans="1:2">
      <c r="A9565" s="55"/>
      <c r="B9565"/>
    </row>
    <row r="9566" spans="1:2">
      <c r="A9566" s="55"/>
      <c r="B9566"/>
    </row>
    <row r="9567" spans="1:2">
      <c r="A9567" s="55"/>
      <c r="B9567"/>
    </row>
    <row r="9568" spans="1:2">
      <c r="A9568" s="55"/>
      <c r="B9568"/>
    </row>
    <row r="9569" spans="1:2">
      <c r="A9569" s="55"/>
      <c r="B9569"/>
    </row>
    <row r="9570" spans="1:2">
      <c r="A9570" s="55"/>
      <c r="B9570"/>
    </row>
    <row r="9571" spans="1:2">
      <c r="A9571" s="55"/>
      <c r="B9571"/>
    </row>
    <row r="9572" spans="1:2">
      <c r="A9572" s="55"/>
      <c r="B9572"/>
    </row>
    <row r="9573" spans="1:2">
      <c r="A9573" s="55"/>
      <c r="B9573"/>
    </row>
    <row r="9574" spans="1:2">
      <c r="A9574" s="55"/>
      <c r="B9574"/>
    </row>
    <row r="9575" spans="1:2">
      <c r="A9575" s="55"/>
      <c r="B9575"/>
    </row>
    <row r="9576" spans="1:2">
      <c r="A9576" s="55"/>
      <c r="B9576"/>
    </row>
    <row r="9577" spans="1:2">
      <c r="A9577" s="55"/>
      <c r="B9577"/>
    </row>
    <row r="9578" spans="1:2">
      <c r="A9578" s="55"/>
      <c r="B9578"/>
    </row>
    <row r="9579" spans="1:2">
      <c r="A9579" s="55"/>
      <c r="B9579"/>
    </row>
    <row r="9580" spans="1:2">
      <c r="A9580" s="55"/>
      <c r="B9580"/>
    </row>
    <row r="9581" spans="1:2">
      <c r="A9581" s="55"/>
      <c r="B9581"/>
    </row>
    <row r="9582" spans="1:2">
      <c r="A9582" s="55"/>
      <c r="B9582"/>
    </row>
    <row r="9583" spans="1:2">
      <c r="A9583" s="55"/>
      <c r="B9583"/>
    </row>
    <row r="9584" spans="1:2">
      <c r="A9584" s="55"/>
      <c r="B9584"/>
    </row>
    <row r="9585" spans="1:2">
      <c r="A9585" s="55"/>
      <c r="B9585"/>
    </row>
    <row r="9586" spans="1:2">
      <c r="A9586" s="55"/>
      <c r="B9586"/>
    </row>
    <row r="9587" spans="1:2">
      <c r="A9587" s="55"/>
      <c r="B9587"/>
    </row>
    <row r="9588" spans="1:2">
      <c r="A9588" s="55"/>
      <c r="B9588"/>
    </row>
    <row r="9589" spans="1:2">
      <c r="A9589" s="55"/>
      <c r="B9589"/>
    </row>
    <row r="9590" spans="1:2">
      <c r="A9590" s="55"/>
      <c r="B9590"/>
    </row>
    <row r="9591" spans="1:2">
      <c r="A9591" s="55"/>
      <c r="B9591"/>
    </row>
    <row r="9592" spans="1:2">
      <c r="A9592" s="55"/>
      <c r="B9592"/>
    </row>
    <row r="9593" spans="1:2">
      <c r="A9593" s="55"/>
      <c r="B9593"/>
    </row>
    <row r="9594" spans="1:2">
      <c r="A9594" s="55"/>
      <c r="B9594"/>
    </row>
    <row r="9595" spans="1:2">
      <c r="A9595" s="55"/>
      <c r="B9595"/>
    </row>
    <row r="9596" spans="1:2">
      <c r="A9596" s="55"/>
      <c r="B9596"/>
    </row>
    <row r="9597" spans="1:2">
      <c r="A9597" s="55"/>
      <c r="B9597"/>
    </row>
    <row r="9598" spans="1:2">
      <c r="A9598" s="55"/>
      <c r="B9598"/>
    </row>
    <row r="9599" spans="1:2">
      <c r="A9599" s="55"/>
      <c r="B9599"/>
    </row>
    <row r="9600" spans="1:2">
      <c r="A9600" s="55"/>
      <c r="B9600"/>
    </row>
    <row r="9601" spans="1:2">
      <c r="A9601" s="55"/>
      <c r="B9601"/>
    </row>
    <row r="9602" spans="1:2">
      <c r="A9602" s="55"/>
      <c r="B9602"/>
    </row>
    <row r="9603" spans="1:2">
      <c r="A9603" s="55"/>
      <c r="B9603"/>
    </row>
    <row r="9604" spans="1:2">
      <c r="A9604" s="55"/>
      <c r="B9604"/>
    </row>
    <row r="9605" spans="1:2">
      <c r="A9605" s="55"/>
      <c r="B9605"/>
    </row>
    <row r="9606" spans="1:2">
      <c r="A9606" s="55"/>
      <c r="B9606"/>
    </row>
    <row r="9607" spans="1:2">
      <c r="A9607" s="55"/>
      <c r="B9607"/>
    </row>
    <row r="9608" spans="1:2">
      <c r="A9608" s="55"/>
      <c r="B9608"/>
    </row>
    <row r="9609" spans="1:2">
      <c r="A9609" s="55"/>
      <c r="B9609"/>
    </row>
    <row r="9610" spans="1:2">
      <c r="A9610" s="55"/>
      <c r="B9610"/>
    </row>
    <row r="9611" spans="1:2">
      <c r="A9611" s="55"/>
      <c r="B9611"/>
    </row>
    <row r="9612" spans="1:2">
      <c r="A9612" s="55"/>
      <c r="B9612"/>
    </row>
    <row r="9613" spans="1:2">
      <c r="A9613" s="55"/>
      <c r="B9613"/>
    </row>
    <row r="9614" spans="1:2">
      <c r="A9614" s="55"/>
      <c r="B9614"/>
    </row>
    <row r="9615" spans="1:2">
      <c r="A9615" s="55"/>
      <c r="B9615"/>
    </row>
    <row r="9616" spans="1:2">
      <c r="A9616" s="55"/>
      <c r="B9616"/>
    </row>
    <row r="9617" spans="1:2">
      <c r="A9617" s="55"/>
      <c r="B9617"/>
    </row>
    <row r="9618" spans="1:2">
      <c r="A9618" s="55"/>
      <c r="B9618"/>
    </row>
    <row r="9619" spans="1:2">
      <c r="A9619" s="55"/>
      <c r="B9619"/>
    </row>
    <row r="9620" spans="1:2">
      <c r="A9620" s="55"/>
      <c r="B9620"/>
    </row>
    <row r="9621" spans="1:2">
      <c r="A9621" s="55"/>
      <c r="B9621"/>
    </row>
    <row r="9622" spans="1:2">
      <c r="A9622" s="55"/>
      <c r="B9622"/>
    </row>
    <row r="9623" spans="1:2">
      <c r="A9623" s="55"/>
      <c r="B9623"/>
    </row>
    <row r="9624" spans="1:2">
      <c r="A9624" s="55"/>
      <c r="B9624"/>
    </row>
    <row r="9625" spans="1:2">
      <c r="A9625" s="55"/>
      <c r="B9625"/>
    </row>
    <row r="9626" spans="1:2">
      <c r="A9626" s="55"/>
      <c r="B9626"/>
    </row>
    <row r="9627" spans="1:2">
      <c r="A9627" s="55"/>
      <c r="B9627"/>
    </row>
    <row r="9628" spans="1:2">
      <c r="A9628" s="55"/>
      <c r="B9628"/>
    </row>
    <row r="9629" spans="1:2">
      <c r="A9629" s="55"/>
      <c r="B9629"/>
    </row>
    <row r="9630" spans="1:2">
      <c r="A9630" s="55"/>
      <c r="B9630"/>
    </row>
    <row r="9631" spans="1:2">
      <c r="A9631" s="55"/>
      <c r="B9631"/>
    </row>
    <row r="9632" spans="1:2">
      <c r="A9632" s="55"/>
      <c r="B9632"/>
    </row>
    <row r="9633" spans="1:2">
      <c r="A9633" s="55"/>
      <c r="B9633"/>
    </row>
    <row r="9634" spans="1:2">
      <c r="A9634" s="55"/>
      <c r="B9634"/>
    </row>
    <row r="9635" spans="1:2">
      <c r="A9635" s="55"/>
      <c r="B9635"/>
    </row>
    <row r="9636" spans="1:2">
      <c r="A9636" s="55"/>
      <c r="B9636"/>
    </row>
    <row r="9637" spans="1:2">
      <c r="A9637" s="55"/>
      <c r="B9637"/>
    </row>
    <row r="9638" spans="1:2">
      <c r="A9638" s="55"/>
      <c r="B9638"/>
    </row>
    <row r="9639" spans="1:2">
      <c r="A9639" s="55"/>
      <c r="B9639"/>
    </row>
    <row r="9640" spans="1:2">
      <c r="A9640" s="55"/>
      <c r="B9640"/>
    </row>
    <row r="9641" spans="1:2">
      <c r="A9641" s="55"/>
      <c r="B9641"/>
    </row>
    <row r="9642" spans="1:2">
      <c r="A9642" s="55"/>
      <c r="B9642"/>
    </row>
    <row r="9643" spans="1:2">
      <c r="A9643" s="55"/>
      <c r="B9643"/>
    </row>
    <row r="9644" spans="1:2">
      <c r="A9644" s="55"/>
      <c r="B9644"/>
    </row>
    <row r="9645" spans="1:2">
      <c r="A9645" s="55"/>
      <c r="B9645"/>
    </row>
    <row r="9646" spans="1:2">
      <c r="A9646" s="55"/>
      <c r="B9646"/>
    </row>
    <row r="9647" spans="1:2">
      <c r="A9647" s="55"/>
      <c r="B9647"/>
    </row>
    <row r="9648" spans="1:2">
      <c r="A9648" s="55"/>
      <c r="B9648"/>
    </row>
    <row r="9649" spans="1:2">
      <c r="A9649" s="55"/>
      <c r="B9649"/>
    </row>
    <row r="9650" spans="1:2">
      <c r="A9650" s="55"/>
      <c r="B9650"/>
    </row>
    <row r="9651" spans="1:2">
      <c r="A9651" s="55"/>
      <c r="B9651"/>
    </row>
    <row r="9652" spans="1:2">
      <c r="A9652" s="55"/>
      <c r="B9652"/>
    </row>
    <row r="9653" spans="1:2">
      <c r="A9653" s="55"/>
      <c r="B9653"/>
    </row>
    <row r="9654" spans="1:2">
      <c r="A9654" s="55"/>
      <c r="B9654"/>
    </row>
    <row r="9655" spans="1:2">
      <c r="A9655" s="55"/>
      <c r="B9655"/>
    </row>
    <row r="9656" spans="1:2">
      <c r="A9656" s="55"/>
      <c r="B9656"/>
    </row>
    <row r="9657" spans="1:2">
      <c r="A9657" s="55"/>
      <c r="B9657"/>
    </row>
    <row r="9658" spans="1:2">
      <c r="A9658" s="55"/>
      <c r="B9658"/>
    </row>
    <row r="9659" spans="1:2">
      <c r="A9659" s="55"/>
      <c r="B9659"/>
    </row>
    <row r="9660" spans="1:2">
      <c r="A9660" s="55"/>
      <c r="B9660"/>
    </row>
    <row r="9661" spans="1:2">
      <c r="A9661" s="55"/>
      <c r="B9661"/>
    </row>
    <row r="9662" spans="1:2">
      <c r="A9662" s="55"/>
      <c r="B9662"/>
    </row>
    <row r="9663" spans="1:2">
      <c r="A9663" s="55"/>
      <c r="B9663"/>
    </row>
    <row r="9664" spans="1:2">
      <c r="A9664" s="55"/>
      <c r="B9664"/>
    </row>
    <row r="9665" spans="1:2">
      <c r="A9665" s="55"/>
      <c r="B9665"/>
    </row>
    <row r="9666" spans="1:2">
      <c r="A9666" s="55"/>
      <c r="B9666"/>
    </row>
    <row r="9667" spans="1:2">
      <c r="A9667" s="55"/>
      <c r="B9667"/>
    </row>
    <row r="9668" spans="1:2">
      <c r="A9668" s="55"/>
      <c r="B9668"/>
    </row>
    <row r="9669" spans="1:2">
      <c r="A9669" s="55"/>
      <c r="B9669"/>
    </row>
    <row r="9670" spans="1:2">
      <c r="A9670" s="55"/>
      <c r="B9670"/>
    </row>
    <row r="9671" spans="1:2">
      <c r="A9671" s="55"/>
      <c r="B9671"/>
    </row>
    <row r="9672" spans="1:2">
      <c r="A9672" s="55"/>
      <c r="B9672"/>
    </row>
    <row r="9673" spans="1:2">
      <c r="A9673" s="55"/>
      <c r="B9673"/>
    </row>
    <row r="9674" spans="1:2">
      <c r="A9674" s="55"/>
      <c r="B9674"/>
    </row>
    <row r="9675" spans="1:2">
      <c r="A9675" s="55"/>
      <c r="B9675"/>
    </row>
    <row r="9676" spans="1:2">
      <c r="A9676" s="55"/>
      <c r="B9676"/>
    </row>
    <row r="9677" spans="1:2">
      <c r="A9677" s="55"/>
      <c r="B9677"/>
    </row>
    <row r="9678" spans="1:2">
      <c r="A9678" s="55"/>
      <c r="B9678"/>
    </row>
    <row r="9679" spans="1:2">
      <c r="A9679" s="55"/>
      <c r="B9679"/>
    </row>
    <row r="9680" spans="1:2">
      <c r="A9680" s="55"/>
      <c r="B9680"/>
    </row>
    <row r="9681" spans="1:2">
      <c r="A9681" s="55"/>
      <c r="B9681"/>
    </row>
    <row r="9682" spans="1:2">
      <c r="A9682" s="55"/>
      <c r="B9682"/>
    </row>
    <row r="9683" spans="1:2">
      <c r="A9683" s="55"/>
      <c r="B9683"/>
    </row>
    <row r="9684" spans="1:2">
      <c r="A9684" s="55"/>
      <c r="B9684"/>
    </row>
    <row r="9685" spans="1:2">
      <c r="A9685" s="55"/>
      <c r="B9685"/>
    </row>
    <row r="9686" spans="1:2">
      <c r="A9686" s="55"/>
      <c r="B9686"/>
    </row>
    <row r="9687" spans="1:2">
      <c r="A9687" s="55"/>
      <c r="B9687"/>
    </row>
    <row r="9688" spans="1:2">
      <c r="A9688" s="55"/>
      <c r="B9688"/>
    </row>
    <row r="9689" spans="1:2">
      <c r="A9689" s="55"/>
      <c r="B9689"/>
    </row>
    <row r="9690" spans="1:2">
      <c r="A9690" s="55"/>
      <c r="B9690"/>
    </row>
    <row r="9691" spans="1:2">
      <c r="A9691" s="55"/>
      <c r="B9691"/>
    </row>
    <row r="9692" spans="1:2">
      <c r="A9692" s="55"/>
      <c r="B9692"/>
    </row>
    <row r="9693" spans="1:2">
      <c r="A9693" s="55"/>
      <c r="B9693"/>
    </row>
    <row r="9694" spans="1:2">
      <c r="A9694" s="55"/>
      <c r="B9694"/>
    </row>
    <row r="9695" spans="1:2">
      <c r="A9695" s="55"/>
      <c r="B9695"/>
    </row>
    <row r="9696" spans="1:2">
      <c r="A9696" s="55"/>
      <c r="B9696"/>
    </row>
    <row r="9697" spans="1:2">
      <c r="A9697" s="55"/>
      <c r="B9697"/>
    </row>
    <row r="9698" spans="1:2">
      <c r="A9698" s="55"/>
      <c r="B9698"/>
    </row>
    <row r="9699" spans="1:2">
      <c r="A9699" s="55"/>
      <c r="B9699"/>
    </row>
    <row r="9700" spans="1:2">
      <c r="A9700" s="55"/>
      <c r="B9700"/>
    </row>
    <row r="9701" spans="1:2">
      <c r="A9701" s="55"/>
      <c r="B9701"/>
    </row>
    <row r="9702" spans="1:2">
      <c r="A9702" s="55"/>
      <c r="B9702"/>
    </row>
    <row r="9703" spans="1:2">
      <c r="A9703" s="55"/>
      <c r="B9703"/>
    </row>
    <row r="9704" spans="1:2">
      <c r="A9704" s="55"/>
      <c r="B9704"/>
    </row>
    <row r="9705" spans="1:2">
      <c r="A9705" s="55"/>
      <c r="B9705"/>
    </row>
    <row r="9706" spans="1:2">
      <c r="A9706" s="55"/>
      <c r="B9706"/>
    </row>
    <row r="9707" spans="1:2">
      <c r="A9707" s="55"/>
      <c r="B9707"/>
    </row>
    <row r="9708" spans="1:2">
      <c r="A9708" s="55"/>
      <c r="B9708"/>
    </row>
    <row r="9709" spans="1:2">
      <c r="A9709" s="55"/>
      <c r="B9709"/>
    </row>
    <row r="9710" spans="1:2">
      <c r="A9710" s="55"/>
      <c r="B9710"/>
    </row>
    <row r="9711" spans="1:2">
      <c r="A9711" s="55"/>
      <c r="B9711"/>
    </row>
    <row r="9712" spans="1:2">
      <c r="A9712" s="55"/>
      <c r="B9712"/>
    </row>
    <row r="9713" spans="1:2">
      <c r="A9713" s="55"/>
      <c r="B9713"/>
    </row>
    <row r="9714" spans="1:2">
      <c r="A9714" s="55"/>
      <c r="B9714"/>
    </row>
    <row r="9715" spans="1:2">
      <c r="A9715" s="55"/>
      <c r="B9715"/>
    </row>
    <row r="9716" spans="1:2">
      <c r="A9716" s="55"/>
      <c r="B9716"/>
    </row>
    <row r="9717" spans="1:2">
      <c r="A9717" s="55"/>
      <c r="B9717"/>
    </row>
    <row r="9718" spans="1:2">
      <c r="A9718" s="55"/>
      <c r="B9718"/>
    </row>
    <row r="9719" spans="1:2">
      <c r="A9719" s="55"/>
      <c r="B9719"/>
    </row>
    <row r="9720" spans="1:2">
      <c r="A9720" s="55"/>
      <c r="B9720"/>
    </row>
    <row r="9721" spans="1:2">
      <c r="A9721" s="55"/>
      <c r="B9721"/>
    </row>
    <row r="9722" spans="1:2">
      <c r="A9722" s="55"/>
      <c r="B9722"/>
    </row>
    <row r="9723" spans="1:2">
      <c r="A9723" s="55"/>
      <c r="B9723"/>
    </row>
    <row r="9724" spans="1:2">
      <c r="A9724" s="55"/>
      <c r="B9724"/>
    </row>
    <row r="9725" spans="1:2">
      <c r="A9725" s="55"/>
      <c r="B9725"/>
    </row>
    <row r="9726" spans="1:2">
      <c r="A9726" s="55"/>
      <c r="B9726"/>
    </row>
    <row r="9727" spans="1:2">
      <c r="A9727" s="55"/>
      <c r="B9727"/>
    </row>
    <row r="9728" spans="1:2">
      <c r="A9728" s="55"/>
      <c r="B9728"/>
    </row>
    <row r="9729" spans="1:2">
      <c r="A9729" s="55"/>
      <c r="B9729"/>
    </row>
    <row r="9730" spans="1:2">
      <c r="A9730" s="55"/>
      <c r="B9730"/>
    </row>
    <row r="9731" spans="1:2">
      <c r="A9731" s="55"/>
      <c r="B9731"/>
    </row>
    <row r="9732" spans="1:2">
      <c r="A9732" s="55"/>
      <c r="B9732"/>
    </row>
    <row r="9733" spans="1:2">
      <c r="A9733" s="55"/>
      <c r="B9733"/>
    </row>
    <row r="9734" spans="1:2">
      <c r="A9734" s="55"/>
      <c r="B9734"/>
    </row>
    <row r="9735" spans="1:2">
      <c r="A9735" s="55"/>
      <c r="B9735"/>
    </row>
    <row r="9736" spans="1:2">
      <c r="A9736" s="55"/>
      <c r="B9736"/>
    </row>
    <row r="9737" spans="1:2">
      <c r="A9737" s="55"/>
      <c r="B9737"/>
    </row>
    <row r="9738" spans="1:2">
      <c r="A9738" s="55"/>
      <c r="B9738"/>
    </row>
    <row r="9739" spans="1:2">
      <c r="A9739" s="55"/>
      <c r="B9739"/>
    </row>
    <row r="9740" spans="1:2">
      <c r="A9740" s="55"/>
      <c r="B9740"/>
    </row>
    <row r="9741" spans="1:2">
      <c r="A9741" s="55"/>
      <c r="B9741"/>
    </row>
    <row r="9742" spans="1:2">
      <c r="A9742" s="55"/>
      <c r="B9742"/>
    </row>
    <row r="9743" spans="1:2">
      <c r="A9743" s="55"/>
      <c r="B9743"/>
    </row>
    <row r="9744" spans="1:2">
      <c r="A9744" s="55"/>
      <c r="B9744"/>
    </row>
    <row r="9745" spans="1:2">
      <c r="A9745" s="55"/>
      <c r="B9745"/>
    </row>
    <row r="9746" spans="1:2">
      <c r="A9746" s="55"/>
      <c r="B9746"/>
    </row>
    <row r="9747" spans="1:2">
      <c r="A9747" s="55"/>
      <c r="B9747"/>
    </row>
    <row r="9748" spans="1:2">
      <c r="A9748" s="55"/>
      <c r="B9748"/>
    </row>
    <row r="9749" spans="1:2">
      <c r="A9749" s="55"/>
      <c r="B9749"/>
    </row>
    <row r="9750" spans="1:2">
      <c r="A9750" s="55"/>
      <c r="B9750"/>
    </row>
    <row r="9751" spans="1:2">
      <c r="A9751" s="55"/>
      <c r="B9751"/>
    </row>
    <row r="9752" spans="1:2">
      <c r="A9752" s="55"/>
      <c r="B9752"/>
    </row>
    <row r="9753" spans="1:2">
      <c r="A9753" s="55"/>
      <c r="B9753"/>
    </row>
    <row r="9754" spans="1:2">
      <c r="A9754" s="55"/>
      <c r="B9754"/>
    </row>
    <row r="9755" spans="1:2">
      <c r="A9755" s="55"/>
      <c r="B9755"/>
    </row>
    <row r="9756" spans="1:2">
      <c r="A9756" s="55"/>
      <c r="B9756"/>
    </row>
    <row r="9757" spans="1:2">
      <c r="A9757" s="55"/>
      <c r="B9757"/>
    </row>
    <row r="9758" spans="1:2">
      <c r="A9758" s="55"/>
      <c r="B9758"/>
    </row>
    <row r="9759" spans="1:2">
      <c r="A9759" s="55"/>
      <c r="B9759"/>
    </row>
    <row r="9760" spans="1:2">
      <c r="A9760" s="55"/>
      <c r="B9760"/>
    </row>
    <row r="9761" spans="1:2">
      <c r="A9761" s="55"/>
      <c r="B9761"/>
    </row>
    <row r="9762" spans="1:2">
      <c r="A9762" s="55"/>
      <c r="B9762"/>
    </row>
    <row r="9763" spans="1:2">
      <c r="A9763" s="55"/>
      <c r="B9763"/>
    </row>
    <row r="9764" spans="1:2">
      <c r="A9764" s="55"/>
      <c r="B9764"/>
    </row>
    <row r="9765" spans="1:2">
      <c r="A9765" s="55"/>
      <c r="B9765"/>
    </row>
    <row r="9766" spans="1:2">
      <c r="A9766" s="55"/>
      <c r="B9766"/>
    </row>
    <row r="9767" spans="1:2">
      <c r="A9767" s="55"/>
      <c r="B9767"/>
    </row>
    <row r="9768" spans="1:2">
      <c r="A9768" s="55"/>
      <c r="B9768"/>
    </row>
    <row r="9769" spans="1:2">
      <c r="A9769" s="55"/>
      <c r="B9769"/>
    </row>
    <row r="9770" spans="1:2">
      <c r="A9770" s="55"/>
      <c r="B9770"/>
    </row>
    <row r="9771" spans="1:2">
      <c r="A9771" s="55"/>
      <c r="B9771"/>
    </row>
    <row r="9772" spans="1:2">
      <c r="A9772" s="55"/>
      <c r="B9772"/>
    </row>
    <row r="9773" spans="1:2">
      <c r="A9773" s="55"/>
      <c r="B9773"/>
    </row>
    <row r="9774" spans="1:2">
      <c r="A9774" s="55"/>
      <c r="B9774"/>
    </row>
    <row r="9775" spans="1:2">
      <c r="A9775" s="55"/>
      <c r="B9775"/>
    </row>
    <row r="9776" spans="1:2">
      <c r="A9776" s="55"/>
      <c r="B9776"/>
    </row>
    <row r="9777" spans="1:2">
      <c r="A9777" s="55"/>
      <c r="B9777"/>
    </row>
    <row r="9778" spans="1:2">
      <c r="A9778" s="55"/>
      <c r="B9778"/>
    </row>
    <row r="9779" spans="1:2">
      <c r="A9779" s="55"/>
      <c r="B9779"/>
    </row>
    <row r="9780" spans="1:2">
      <c r="A9780" s="55"/>
      <c r="B9780"/>
    </row>
    <row r="9781" spans="1:2">
      <c r="A9781" s="55"/>
      <c r="B9781"/>
    </row>
    <row r="9782" spans="1:2">
      <c r="A9782" s="55"/>
      <c r="B9782"/>
    </row>
    <row r="9783" spans="1:2">
      <c r="A9783" s="55"/>
      <c r="B9783"/>
    </row>
    <row r="9784" spans="1:2">
      <c r="A9784" s="55"/>
      <c r="B9784"/>
    </row>
    <row r="9785" spans="1:2">
      <c r="A9785" s="55"/>
      <c r="B9785"/>
    </row>
    <row r="9786" spans="1:2">
      <c r="A9786" s="55"/>
      <c r="B9786"/>
    </row>
    <row r="9787" spans="1:2">
      <c r="A9787" s="55"/>
      <c r="B9787"/>
    </row>
    <row r="9788" spans="1:2">
      <c r="A9788" s="55"/>
      <c r="B9788"/>
    </row>
    <row r="9789" spans="1:2">
      <c r="A9789" s="55"/>
      <c r="B9789"/>
    </row>
    <row r="9790" spans="1:2">
      <c r="A9790" s="55"/>
      <c r="B9790"/>
    </row>
    <row r="9791" spans="1:2">
      <c r="A9791" s="55"/>
      <c r="B9791"/>
    </row>
    <row r="9792" spans="1:2">
      <c r="A9792" s="55"/>
      <c r="B9792"/>
    </row>
    <row r="9793" spans="1:2">
      <c r="A9793" s="55"/>
      <c r="B9793"/>
    </row>
    <row r="9794" spans="1:2">
      <c r="A9794" s="55"/>
      <c r="B9794"/>
    </row>
    <row r="9795" spans="1:2">
      <c r="A9795" s="55"/>
      <c r="B9795"/>
    </row>
    <row r="9796" spans="1:2">
      <c r="A9796" s="55"/>
      <c r="B9796"/>
    </row>
    <row r="9797" spans="1:2">
      <c r="A9797" s="55"/>
      <c r="B9797"/>
    </row>
    <row r="9798" spans="1:2">
      <c r="A9798" s="55"/>
      <c r="B9798"/>
    </row>
    <row r="9799" spans="1:2">
      <c r="A9799" s="55"/>
      <c r="B9799"/>
    </row>
    <row r="9800" spans="1:2">
      <c r="A9800" s="55"/>
      <c r="B9800"/>
    </row>
    <row r="9801" spans="1:2">
      <c r="A9801" s="55"/>
      <c r="B9801"/>
    </row>
    <row r="9802" spans="1:2">
      <c r="A9802" s="55"/>
      <c r="B9802"/>
    </row>
    <row r="9803" spans="1:2">
      <c r="A9803" s="55"/>
      <c r="B9803"/>
    </row>
    <row r="9804" spans="1:2">
      <c r="A9804" s="55"/>
      <c r="B9804"/>
    </row>
    <row r="9805" spans="1:2">
      <c r="A9805" s="55"/>
      <c r="B9805"/>
    </row>
    <row r="9806" spans="1:2">
      <c r="A9806" s="55"/>
      <c r="B9806"/>
    </row>
    <row r="9807" spans="1:2">
      <c r="A9807" s="55"/>
      <c r="B9807"/>
    </row>
    <row r="9808" spans="1:2">
      <c r="A9808" s="55"/>
      <c r="B9808"/>
    </row>
    <row r="9809" spans="1:2">
      <c r="A9809" s="55"/>
      <c r="B9809"/>
    </row>
    <row r="9810" spans="1:2">
      <c r="A9810" s="55"/>
      <c r="B9810"/>
    </row>
    <row r="9811" spans="1:2">
      <c r="A9811" s="55"/>
      <c r="B9811"/>
    </row>
    <row r="9812" spans="1:2">
      <c r="A9812" s="55"/>
      <c r="B9812"/>
    </row>
    <row r="9813" spans="1:2">
      <c r="A9813" s="55"/>
      <c r="B9813"/>
    </row>
    <row r="9814" spans="1:2">
      <c r="A9814" s="55"/>
      <c r="B9814"/>
    </row>
    <row r="9815" spans="1:2">
      <c r="A9815" s="55"/>
      <c r="B9815"/>
    </row>
    <row r="9816" spans="1:2">
      <c r="A9816" s="55"/>
      <c r="B9816"/>
    </row>
    <row r="9817" spans="1:2">
      <c r="A9817" s="55"/>
      <c r="B9817"/>
    </row>
    <row r="9818" spans="1:2">
      <c r="A9818" s="55"/>
      <c r="B9818"/>
    </row>
    <row r="9819" spans="1:2">
      <c r="A9819" s="55"/>
      <c r="B9819"/>
    </row>
    <row r="9820" spans="1:2">
      <c r="A9820" s="55"/>
      <c r="B9820"/>
    </row>
    <row r="9821" spans="1:2">
      <c r="A9821" s="55"/>
      <c r="B9821"/>
    </row>
    <row r="9822" spans="1:2">
      <c r="A9822" s="55"/>
      <c r="B9822"/>
    </row>
    <row r="9823" spans="1:2">
      <c r="A9823" s="55"/>
      <c r="B9823"/>
    </row>
    <row r="9824" spans="1:2">
      <c r="A9824" s="55"/>
      <c r="B9824"/>
    </row>
    <row r="9825" spans="1:2">
      <c r="A9825" s="55"/>
      <c r="B9825"/>
    </row>
    <row r="9826" spans="1:2">
      <c r="A9826" s="55"/>
      <c r="B9826"/>
    </row>
    <row r="9827" spans="1:2">
      <c r="A9827" s="55"/>
      <c r="B9827"/>
    </row>
    <row r="9828" spans="1:2">
      <c r="A9828" s="55"/>
      <c r="B9828"/>
    </row>
    <row r="9829" spans="1:2">
      <c r="A9829" s="55"/>
      <c r="B9829"/>
    </row>
    <row r="9830" spans="1:2">
      <c r="A9830" s="55"/>
      <c r="B9830"/>
    </row>
    <row r="9831" spans="1:2">
      <c r="A9831" s="55"/>
      <c r="B9831"/>
    </row>
    <row r="9832" spans="1:2">
      <c r="A9832" s="55"/>
      <c r="B9832"/>
    </row>
    <row r="9833" spans="1:2">
      <c r="A9833" s="55"/>
      <c r="B9833"/>
    </row>
    <row r="9834" spans="1:2">
      <c r="A9834" s="55"/>
      <c r="B9834"/>
    </row>
    <row r="9835" spans="1:2">
      <c r="A9835" s="55"/>
      <c r="B9835"/>
    </row>
    <row r="9836" spans="1:2">
      <c r="A9836" s="55"/>
      <c r="B9836"/>
    </row>
    <row r="9837" spans="1:2">
      <c r="A9837" s="55"/>
      <c r="B9837"/>
    </row>
    <row r="9838" spans="1:2">
      <c r="A9838" s="55"/>
      <c r="B9838"/>
    </row>
    <row r="9839" spans="1:2">
      <c r="A9839" s="55"/>
      <c r="B9839"/>
    </row>
    <row r="9840" spans="1:2">
      <c r="A9840" s="55"/>
      <c r="B9840"/>
    </row>
    <row r="9841" spans="1:2">
      <c r="A9841" s="55"/>
      <c r="B9841"/>
    </row>
    <row r="9842" spans="1:2">
      <c r="A9842" s="55"/>
      <c r="B9842"/>
    </row>
    <row r="9843" spans="1:2">
      <c r="A9843" s="55"/>
      <c r="B9843"/>
    </row>
    <row r="9844" spans="1:2">
      <c r="A9844" s="55"/>
      <c r="B9844"/>
    </row>
    <row r="9845" spans="1:2">
      <c r="A9845" s="55"/>
      <c r="B9845"/>
    </row>
    <row r="9846" spans="1:2">
      <c r="A9846" s="55"/>
      <c r="B9846"/>
    </row>
    <row r="9847" spans="1:2">
      <c r="A9847" s="55"/>
      <c r="B9847"/>
    </row>
    <row r="9848" spans="1:2">
      <c r="A9848" s="55"/>
      <c r="B9848"/>
    </row>
    <row r="9849" spans="1:2">
      <c r="A9849" s="55"/>
      <c r="B9849"/>
    </row>
    <row r="9850" spans="1:2">
      <c r="A9850" s="55"/>
      <c r="B9850"/>
    </row>
    <row r="9851" spans="1:2">
      <c r="A9851" s="55"/>
      <c r="B9851"/>
    </row>
    <row r="9852" spans="1:2">
      <c r="A9852" s="55"/>
      <c r="B9852"/>
    </row>
    <row r="9853" spans="1:2">
      <c r="A9853" s="55"/>
      <c r="B9853"/>
    </row>
    <row r="9854" spans="1:2">
      <c r="A9854" s="55"/>
      <c r="B9854"/>
    </row>
    <row r="9855" spans="1:2">
      <c r="A9855" s="55"/>
      <c r="B9855"/>
    </row>
    <row r="9856" spans="1:2">
      <c r="A9856" s="55"/>
      <c r="B9856"/>
    </row>
    <row r="9857" spans="1:2">
      <c r="A9857" s="55"/>
      <c r="B9857"/>
    </row>
    <row r="9858" spans="1:2">
      <c r="A9858" s="55"/>
      <c r="B9858"/>
    </row>
    <row r="9859" spans="1:2">
      <c r="A9859" s="55"/>
      <c r="B9859"/>
    </row>
    <row r="9860" spans="1:2">
      <c r="A9860" s="55"/>
      <c r="B9860"/>
    </row>
    <row r="9861" spans="1:2">
      <c r="A9861" s="55"/>
      <c r="B9861"/>
    </row>
    <row r="9862" spans="1:2">
      <c r="A9862" s="55"/>
      <c r="B9862"/>
    </row>
    <row r="9863" spans="1:2">
      <c r="A9863" s="55"/>
      <c r="B9863"/>
    </row>
    <row r="9864" spans="1:2">
      <c r="A9864" s="55"/>
      <c r="B9864"/>
    </row>
    <row r="9865" spans="1:2">
      <c r="A9865" s="55"/>
      <c r="B9865"/>
    </row>
    <row r="9866" spans="1:2">
      <c r="A9866" s="55"/>
      <c r="B9866"/>
    </row>
    <row r="9867" spans="1:2">
      <c r="A9867" s="55"/>
      <c r="B9867"/>
    </row>
    <row r="9868" spans="1:2">
      <c r="A9868" s="55"/>
      <c r="B9868"/>
    </row>
    <row r="9869" spans="1:2">
      <c r="A9869" s="55"/>
      <c r="B9869"/>
    </row>
    <row r="9870" spans="1:2">
      <c r="A9870" s="55"/>
      <c r="B9870"/>
    </row>
    <row r="9871" spans="1:2">
      <c r="A9871" s="55"/>
      <c r="B9871"/>
    </row>
    <row r="9872" spans="1:2">
      <c r="A9872" s="55"/>
      <c r="B9872"/>
    </row>
    <row r="9873" spans="1:2">
      <c r="A9873" s="55"/>
      <c r="B9873"/>
    </row>
    <row r="9874" spans="1:2">
      <c r="A9874" s="55"/>
      <c r="B9874"/>
    </row>
    <row r="9875" spans="1:2">
      <c r="A9875" s="55"/>
      <c r="B9875"/>
    </row>
    <row r="9876" spans="1:2">
      <c r="A9876" s="55"/>
      <c r="B9876"/>
    </row>
    <row r="9877" spans="1:2">
      <c r="A9877" s="55"/>
      <c r="B9877"/>
    </row>
    <row r="9878" spans="1:2">
      <c r="A9878" s="55"/>
      <c r="B9878"/>
    </row>
    <row r="9879" spans="1:2">
      <c r="A9879" s="55"/>
      <c r="B9879"/>
    </row>
    <row r="9880" spans="1:2">
      <c r="A9880" s="55"/>
      <c r="B9880"/>
    </row>
    <row r="9881" spans="1:2">
      <c r="A9881" s="55"/>
      <c r="B9881"/>
    </row>
    <row r="9882" spans="1:2">
      <c r="A9882" s="55"/>
      <c r="B9882"/>
    </row>
    <row r="9883" spans="1:2">
      <c r="A9883" s="55"/>
      <c r="B9883"/>
    </row>
    <row r="9884" spans="1:2">
      <c r="A9884" s="55"/>
      <c r="B9884"/>
    </row>
    <row r="9885" spans="1:2">
      <c r="A9885" s="55"/>
      <c r="B9885"/>
    </row>
    <row r="9886" spans="1:2">
      <c r="A9886" s="55"/>
      <c r="B9886"/>
    </row>
    <row r="9887" spans="1:2">
      <c r="A9887" s="55"/>
      <c r="B9887"/>
    </row>
    <row r="9888" spans="1:2">
      <c r="A9888" s="55"/>
      <c r="B9888"/>
    </row>
    <row r="9889" spans="1:2">
      <c r="A9889" s="55"/>
      <c r="B9889"/>
    </row>
    <row r="9890" spans="1:2">
      <c r="A9890" s="55"/>
      <c r="B9890"/>
    </row>
    <row r="9891" spans="1:2">
      <c r="A9891" s="55"/>
      <c r="B9891"/>
    </row>
    <row r="9892" spans="1:2">
      <c r="A9892" s="55"/>
      <c r="B9892"/>
    </row>
    <row r="9893" spans="1:2">
      <c r="A9893" s="55"/>
      <c r="B9893"/>
    </row>
    <row r="9894" spans="1:2">
      <c r="A9894" s="55"/>
      <c r="B9894"/>
    </row>
    <row r="9895" spans="1:2">
      <c r="A9895" s="55"/>
      <c r="B9895"/>
    </row>
    <row r="9896" spans="1:2">
      <c r="A9896" s="55"/>
      <c r="B9896"/>
    </row>
    <row r="9897" spans="1:2">
      <c r="A9897" s="55"/>
      <c r="B9897"/>
    </row>
    <row r="9898" spans="1:2">
      <c r="A9898" s="55"/>
      <c r="B9898"/>
    </row>
    <row r="9899" spans="1:2">
      <c r="A9899" s="55"/>
      <c r="B9899"/>
    </row>
    <row r="9900" spans="1:2">
      <c r="A9900" s="55"/>
      <c r="B9900"/>
    </row>
    <row r="9901" spans="1:2">
      <c r="A9901" s="55"/>
      <c r="B9901"/>
    </row>
    <row r="9902" spans="1:2">
      <c r="A9902" s="55"/>
      <c r="B9902"/>
    </row>
    <row r="9903" spans="1:2">
      <c r="A9903" s="55"/>
      <c r="B9903"/>
    </row>
    <row r="9904" spans="1:2">
      <c r="A9904" s="55"/>
      <c r="B9904"/>
    </row>
    <row r="9905" spans="1:2">
      <c r="A9905" s="55"/>
      <c r="B9905"/>
    </row>
    <row r="9906" spans="1:2">
      <c r="A9906" s="55"/>
      <c r="B9906"/>
    </row>
    <row r="9907" spans="1:2">
      <c r="A9907" s="55"/>
      <c r="B9907"/>
    </row>
    <row r="9908" spans="1:2">
      <c r="A9908" s="55"/>
      <c r="B9908"/>
    </row>
    <row r="9909" spans="1:2">
      <c r="A9909" s="55"/>
      <c r="B9909"/>
    </row>
    <row r="9910" spans="1:2">
      <c r="A9910" s="55"/>
      <c r="B9910"/>
    </row>
    <row r="9911" spans="1:2">
      <c r="A9911" s="55"/>
      <c r="B9911"/>
    </row>
    <row r="9912" spans="1:2">
      <c r="A9912" s="55"/>
      <c r="B9912"/>
    </row>
    <row r="9913" spans="1:2">
      <c r="A9913" s="55"/>
      <c r="B9913"/>
    </row>
    <row r="9914" spans="1:2">
      <c r="A9914" s="55"/>
      <c r="B9914"/>
    </row>
    <row r="9915" spans="1:2">
      <c r="A9915" s="55"/>
      <c r="B9915"/>
    </row>
    <row r="9916" spans="1:2">
      <c r="A9916" s="55"/>
      <c r="B9916"/>
    </row>
    <row r="9917" spans="1:2">
      <c r="A9917" s="55"/>
      <c r="B9917"/>
    </row>
    <row r="9918" spans="1:2">
      <c r="A9918" s="55"/>
      <c r="B9918"/>
    </row>
    <row r="9919" spans="1:2">
      <c r="A9919" s="55"/>
      <c r="B9919"/>
    </row>
    <row r="9920" spans="1:2">
      <c r="A9920" s="55"/>
      <c r="B9920"/>
    </row>
    <row r="9921" spans="1:2">
      <c r="A9921" s="55"/>
      <c r="B9921"/>
    </row>
    <row r="9922" spans="1:2">
      <c r="A9922" s="55"/>
      <c r="B9922"/>
    </row>
    <row r="9923" spans="1:2">
      <c r="A9923" s="55"/>
      <c r="B9923"/>
    </row>
    <row r="9924" spans="1:2">
      <c r="A9924" s="55"/>
      <c r="B9924"/>
    </row>
    <row r="9925" spans="1:2">
      <c r="A9925" s="55"/>
      <c r="B9925"/>
    </row>
    <row r="9926" spans="1:2">
      <c r="A9926" s="55"/>
      <c r="B9926"/>
    </row>
    <row r="9927" spans="1:2">
      <c r="A9927" s="55"/>
      <c r="B9927"/>
    </row>
    <row r="9928" spans="1:2">
      <c r="A9928" s="55"/>
      <c r="B9928"/>
    </row>
    <row r="9929" spans="1:2">
      <c r="A9929" s="55"/>
      <c r="B9929"/>
    </row>
    <row r="9930" spans="1:2">
      <c r="A9930" s="55"/>
      <c r="B9930"/>
    </row>
    <row r="9931" spans="1:2">
      <c r="A9931" s="55"/>
      <c r="B9931"/>
    </row>
    <row r="9932" spans="1:2">
      <c r="A9932" s="55"/>
      <c r="B9932"/>
    </row>
    <row r="9933" spans="1:2">
      <c r="A9933" s="55"/>
      <c r="B9933"/>
    </row>
    <row r="9934" spans="1:2">
      <c r="A9934" s="55"/>
      <c r="B9934"/>
    </row>
    <row r="9935" spans="1:2">
      <c r="A9935" s="55"/>
      <c r="B9935"/>
    </row>
    <row r="9936" spans="1:2">
      <c r="A9936" s="55"/>
      <c r="B9936"/>
    </row>
    <row r="9937" spans="1:2">
      <c r="A9937" s="55"/>
      <c r="B9937"/>
    </row>
    <row r="9938" spans="1:2">
      <c r="A9938" s="55"/>
      <c r="B9938"/>
    </row>
    <row r="9939" spans="1:2">
      <c r="A9939" s="55"/>
      <c r="B9939"/>
    </row>
    <row r="9940" spans="1:2">
      <c r="A9940" s="55"/>
      <c r="B9940"/>
    </row>
    <row r="9941" spans="1:2">
      <c r="A9941" s="55"/>
      <c r="B9941"/>
    </row>
    <row r="9942" spans="1:2">
      <c r="A9942" s="55"/>
      <c r="B9942"/>
    </row>
    <row r="9943" spans="1:2">
      <c r="A9943" s="55"/>
      <c r="B9943"/>
    </row>
    <row r="9944" spans="1:2">
      <c r="A9944" s="55"/>
      <c r="B9944"/>
    </row>
    <row r="9945" spans="1:2">
      <c r="A9945" s="55"/>
      <c r="B9945"/>
    </row>
    <row r="9946" spans="1:2">
      <c r="A9946" s="55"/>
      <c r="B9946"/>
    </row>
    <row r="9947" spans="1:2">
      <c r="A9947" s="55"/>
      <c r="B9947"/>
    </row>
    <row r="9948" spans="1:2">
      <c r="A9948" s="55"/>
      <c r="B9948"/>
    </row>
    <row r="9949" spans="1:2">
      <c r="A9949" s="55"/>
      <c r="B9949"/>
    </row>
    <row r="9950" spans="1:2">
      <c r="A9950" s="55"/>
      <c r="B9950"/>
    </row>
    <row r="9951" spans="1:2">
      <c r="A9951" s="55"/>
      <c r="B9951"/>
    </row>
    <row r="9952" spans="1:2">
      <c r="A9952" s="55"/>
      <c r="B9952"/>
    </row>
    <row r="9953" spans="1:2">
      <c r="A9953" s="55"/>
      <c r="B9953"/>
    </row>
    <row r="9954" spans="1:2">
      <c r="A9954" s="55"/>
      <c r="B9954"/>
    </row>
    <row r="9955" spans="1:2">
      <c r="A9955" s="55"/>
      <c r="B9955"/>
    </row>
    <row r="9956" spans="1:2">
      <c r="A9956" s="55"/>
      <c r="B9956"/>
    </row>
    <row r="9957" spans="1:2">
      <c r="A9957" s="55"/>
      <c r="B9957"/>
    </row>
    <row r="9958" spans="1:2">
      <c r="A9958" s="55"/>
      <c r="B9958"/>
    </row>
    <row r="9959" spans="1:2">
      <c r="A9959" s="55"/>
      <c r="B9959"/>
    </row>
    <row r="9960" spans="1:2">
      <c r="A9960" s="55"/>
      <c r="B9960"/>
    </row>
    <row r="9961" spans="1:2">
      <c r="A9961" s="55"/>
      <c r="B9961"/>
    </row>
    <row r="9962" spans="1:2">
      <c r="A9962" s="55"/>
      <c r="B9962"/>
    </row>
    <row r="9963" spans="1:2">
      <c r="A9963" s="55"/>
      <c r="B9963"/>
    </row>
    <row r="9964" spans="1:2">
      <c r="A9964" s="55"/>
      <c r="B9964"/>
    </row>
    <row r="9965" spans="1:2">
      <c r="A9965" s="55"/>
      <c r="B9965"/>
    </row>
    <row r="9966" spans="1:2">
      <c r="A9966" s="55"/>
      <c r="B9966"/>
    </row>
    <row r="9967" spans="1:2">
      <c r="A9967" s="55"/>
      <c r="B9967"/>
    </row>
    <row r="9968" spans="1:2">
      <c r="A9968" s="55"/>
      <c r="B9968"/>
    </row>
    <row r="9969" spans="1:2">
      <c r="A9969" s="55"/>
      <c r="B9969"/>
    </row>
    <row r="9970" spans="1:2">
      <c r="A9970" s="55"/>
      <c r="B9970"/>
    </row>
    <row r="9971" spans="1:2">
      <c r="A9971" s="55"/>
      <c r="B9971"/>
    </row>
    <row r="9972" spans="1:2">
      <c r="A9972" s="55"/>
      <c r="B9972"/>
    </row>
    <row r="9973" spans="1:2">
      <c r="A9973" s="55"/>
      <c r="B9973"/>
    </row>
    <row r="9974" spans="1:2">
      <c r="A9974" s="55"/>
      <c r="B9974"/>
    </row>
    <row r="9975" spans="1:2">
      <c r="A9975" s="55"/>
      <c r="B9975"/>
    </row>
    <row r="9976" spans="1:2">
      <c r="A9976" s="55"/>
      <c r="B9976"/>
    </row>
    <row r="9977" spans="1:2">
      <c r="A9977" s="55"/>
      <c r="B9977"/>
    </row>
    <row r="9978" spans="1:2">
      <c r="A9978" s="55"/>
      <c r="B9978"/>
    </row>
    <row r="9979" spans="1:2">
      <c r="A9979" s="55"/>
      <c r="B9979"/>
    </row>
    <row r="9980" spans="1:2">
      <c r="A9980" s="55"/>
      <c r="B9980"/>
    </row>
    <row r="9981" spans="1:2">
      <c r="A9981" s="55"/>
      <c r="B9981"/>
    </row>
    <row r="9982" spans="1:2">
      <c r="A9982" s="55"/>
      <c r="B9982"/>
    </row>
    <row r="9983" spans="1:2">
      <c r="A9983" s="55"/>
      <c r="B9983"/>
    </row>
    <row r="9984" spans="1:2">
      <c r="A9984" s="55"/>
      <c r="B9984"/>
    </row>
    <row r="9985" spans="1:2">
      <c r="A9985" s="55"/>
      <c r="B9985"/>
    </row>
    <row r="9986" spans="1:2">
      <c r="A9986" s="55"/>
      <c r="B9986"/>
    </row>
    <row r="9987" spans="1:2">
      <c r="A9987" s="55"/>
      <c r="B9987"/>
    </row>
    <row r="9988" spans="1:2">
      <c r="A9988" s="55"/>
      <c r="B9988"/>
    </row>
    <row r="9989" spans="1:2">
      <c r="A9989" s="55"/>
      <c r="B9989"/>
    </row>
    <row r="9990" spans="1:2">
      <c r="A9990" s="55"/>
      <c r="B9990"/>
    </row>
    <row r="9991" spans="1:2">
      <c r="A9991" s="55"/>
      <c r="B9991"/>
    </row>
    <row r="9992" spans="1:2">
      <c r="A9992" s="55"/>
      <c r="B9992"/>
    </row>
    <row r="9993" spans="1:2">
      <c r="A9993" s="55"/>
      <c r="B9993"/>
    </row>
    <row r="9994" spans="1:2">
      <c r="A9994" s="55"/>
      <c r="B9994"/>
    </row>
    <row r="9995" spans="1:2">
      <c r="A9995" s="55"/>
      <c r="B9995"/>
    </row>
    <row r="9996" spans="1:2">
      <c r="A9996" s="55"/>
      <c r="B9996"/>
    </row>
    <row r="9997" spans="1:2">
      <c r="A9997" s="55"/>
      <c r="B9997"/>
    </row>
    <row r="9998" spans="1:2">
      <c r="A9998" s="55"/>
      <c r="B9998"/>
    </row>
    <row r="9999" spans="1:2">
      <c r="A9999" s="55"/>
      <c r="B9999"/>
    </row>
    <row r="10000" spans="1:2">
      <c r="A10000" s="55"/>
      <c r="B10000"/>
    </row>
    <row r="10001" spans="1:2">
      <c r="A10001" s="55"/>
      <c r="B10001"/>
    </row>
    <row r="10002" spans="1:2">
      <c r="A10002" s="55"/>
      <c r="B10002"/>
    </row>
    <row r="10003" spans="1:2">
      <c r="A10003" s="55"/>
      <c r="B10003"/>
    </row>
    <row r="10004" spans="1:2">
      <c r="A10004" s="55"/>
      <c r="B10004"/>
    </row>
    <row r="10005" spans="1:2">
      <c r="A10005" s="55"/>
      <c r="B10005"/>
    </row>
    <row r="10006" spans="1:2">
      <c r="A10006" s="55"/>
      <c r="B10006"/>
    </row>
    <row r="10007" spans="1:2">
      <c r="A10007" s="55"/>
      <c r="B10007"/>
    </row>
    <row r="10008" spans="1:2">
      <c r="A10008" s="55"/>
      <c r="B10008"/>
    </row>
    <row r="10009" spans="1:2">
      <c r="A10009" s="55"/>
      <c r="B10009"/>
    </row>
    <row r="10010" spans="1:2">
      <c r="A10010" s="55"/>
      <c r="B10010"/>
    </row>
    <row r="10011" spans="1:2">
      <c r="A10011" s="55"/>
      <c r="B10011"/>
    </row>
    <row r="10012" spans="1:2">
      <c r="A10012" s="55"/>
      <c r="B10012"/>
    </row>
    <row r="10013" spans="1:2">
      <c r="A10013" s="55"/>
      <c r="B10013"/>
    </row>
    <row r="10014" spans="1:2">
      <c r="A10014" s="55"/>
      <c r="B10014"/>
    </row>
    <row r="10015" spans="1:2">
      <c r="A10015" s="55"/>
      <c r="B10015"/>
    </row>
    <row r="10016" spans="1:2">
      <c r="A10016" s="55"/>
      <c r="B10016"/>
    </row>
    <row r="10017" spans="1:2">
      <c r="A10017" s="55"/>
      <c r="B10017"/>
    </row>
    <row r="10018" spans="1:2">
      <c r="A10018" s="55"/>
      <c r="B10018"/>
    </row>
    <row r="10019" spans="1:2">
      <c r="A10019" s="55"/>
      <c r="B10019"/>
    </row>
    <row r="10020" spans="1:2">
      <c r="A10020" s="55"/>
      <c r="B10020"/>
    </row>
    <row r="10021" spans="1:2">
      <c r="A10021" s="55"/>
      <c r="B10021"/>
    </row>
    <row r="10022" spans="1:2">
      <c r="A10022" s="55"/>
      <c r="B10022"/>
    </row>
    <row r="10023" spans="1:2">
      <c r="A10023" s="55"/>
      <c r="B10023"/>
    </row>
    <row r="10024" spans="1:2">
      <c r="A10024" s="55"/>
      <c r="B10024"/>
    </row>
    <row r="10025" spans="1:2">
      <c r="A10025" s="55"/>
      <c r="B10025"/>
    </row>
    <row r="10026" spans="1:2">
      <c r="A10026" s="55"/>
      <c r="B10026"/>
    </row>
    <row r="10027" spans="1:2">
      <c r="A10027" s="55"/>
      <c r="B10027"/>
    </row>
    <row r="10028" spans="1:2">
      <c r="A10028" s="55"/>
      <c r="B10028"/>
    </row>
    <row r="10029" spans="1:2">
      <c r="A10029" s="55"/>
      <c r="B10029"/>
    </row>
    <row r="10030" spans="1:2">
      <c r="A10030" s="55"/>
      <c r="B10030"/>
    </row>
    <row r="10031" spans="1:2">
      <c r="A10031" s="55"/>
      <c r="B10031"/>
    </row>
    <row r="10032" spans="1:2">
      <c r="A10032" s="55"/>
      <c r="B10032"/>
    </row>
    <row r="10033" spans="1:2">
      <c r="A10033" s="55"/>
      <c r="B10033"/>
    </row>
    <row r="10034" spans="1:2">
      <c r="A10034" s="55"/>
      <c r="B10034"/>
    </row>
    <row r="10035" spans="1:2">
      <c r="A10035" s="55"/>
      <c r="B10035"/>
    </row>
    <row r="10036" spans="1:2">
      <c r="A10036" s="55"/>
      <c r="B10036"/>
    </row>
    <row r="10037" spans="1:2">
      <c r="A10037" s="55"/>
      <c r="B10037"/>
    </row>
    <row r="10038" spans="1:2">
      <c r="A10038" s="55"/>
      <c r="B10038"/>
    </row>
    <row r="10039" spans="1:2">
      <c r="A10039" s="55"/>
      <c r="B10039"/>
    </row>
    <row r="10040" spans="1:2">
      <c r="A10040" s="55"/>
      <c r="B10040"/>
    </row>
    <row r="10041" spans="1:2">
      <c r="A10041" s="55"/>
      <c r="B10041"/>
    </row>
    <row r="10042" spans="1:2">
      <c r="A10042" s="55"/>
      <c r="B10042"/>
    </row>
    <row r="10043" spans="1:2">
      <c r="A10043" s="55"/>
      <c r="B10043"/>
    </row>
    <row r="10044" spans="1:2">
      <c r="A10044" s="55"/>
      <c r="B10044"/>
    </row>
    <row r="10045" spans="1:2">
      <c r="A10045" s="55"/>
      <c r="B10045"/>
    </row>
    <row r="10046" spans="1:2">
      <c r="A10046" s="55"/>
      <c r="B10046"/>
    </row>
    <row r="10047" spans="1:2">
      <c r="A10047" s="55"/>
      <c r="B10047"/>
    </row>
    <row r="10048" spans="1:2">
      <c r="A10048" s="55"/>
      <c r="B10048"/>
    </row>
    <row r="10049" spans="1:2">
      <c r="A10049" s="55"/>
      <c r="B10049"/>
    </row>
    <row r="10050" spans="1:2">
      <c r="A10050" s="55"/>
      <c r="B10050"/>
    </row>
    <row r="10051" spans="1:2">
      <c r="A10051" s="55"/>
      <c r="B10051"/>
    </row>
    <row r="10052" spans="1:2">
      <c r="A10052" s="55"/>
      <c r="B10052"/>
    </row>
    <row r="10053" spans="1:2">
      <c r="A10053" s="55"/>
      <c r="B10053"/>
    </row>
    <row r="10054" spans="1:2">
      <c r="A10054" s="55"/>
      <c r="B10054"/>
    </row>
    <row r="10055" spans="1:2">
      <c r="A10055" s="55"/>
      <c r="B10055"/>
    </row>
    <row r="10056" spans="1:2">
      <c r="A10056" s="55"/>
      <c r="B10056"/>
    </row>
    <row r="10057" spans="1:2">
      <c r="A10057" s="55"/>
      <c r="B10057"/>
    </row>
    <row r="10058" spans="1:2">
      <c r="A10058" s="55"/>
      <c r="B10058"/>
    </row>
    <row r="10059" spans="1:2">
      <c r="A10059" s="55"/>
      <c r="B10059"/>
    </row>
    <row r="10060" spans="1:2">
      <c r="A10060" s="55"/>
      <c r="B10060"/>
    </row>
    <row r="10061" spans="1:2">
      <c r="A10061" s="55"/>
      <c r="B10061"/>
    </row>
    <row r="10062" spans="1:2">
      <c r="A10062" s="55"/>
      <c r="B10062"/>
    </row>
    <row r="10063" spans="1:2">
      <c r="A10063" s="55"/>
      <c r="B10063"/>
    </row>
    <row r="10064" spans="1:2">
      <c r="A10064" s="55"/>
      <c r="B10064"/>
    </row>
    <row r="10065" spans="1:2">
      <c r="A10065" s="55"/>
      <c r="B10065"/>
    </row>
    <row r="10066" spans="1:2">
      <c r="A10066" s="55"/>
      <c r="B10066"/>
    </row>
    <row r="10067" spans="1:2">
      <c r="A10067" s="55"/>
      <c r="B10067"/>
    </row>
    <row r="10068" spans="1:2">
      <c r="A10068" s="55"/>
      <c r="B10068"/>
    </row>
    <row r="10069" spans="1:2">
      <c r="A10069" s="55"/>
      <c r="B10069"/>
    </row>
    <row r="10070" spans="1:2">
      <c r="A10070" s="55"/>
      <c r="B10070"/>
    </row>
    <row r="10071" spans="1:2">
      <c r="A10071" s="55"/>
      <c r="B10071"/>
    </row>
    <row r="10072" spans="1:2">
      <c r="A10072" s="55"/>
      <c r="B10072"/>
    </row>
    <row r="10073" spans="1:2">
      <c r="A10073" s="55"/>
      <c r="B10073"/>
    </row>
    <row r="10074" spans="1:2">
      <c r="A10074" s="55"/>
      <c r="B10074"/>
    </row>
    <row r="10075" spans="1:2">
      <c r="A10075" s="55"/>
      <c r="B10075"/>
    </row>
    <row r="10076" spans="1:2">
      <c r="A10076" s="55"/>
      <c r="B10076"/>
    </row>
    <row r="10077" spans="1:2">
      <c r="A10077" s="55"/>
      <c r="B10077"/>
    </row>
    <row r="10078" spans="1:2">
      <c r="A10078" s="55"/>
      <c r="B10078"/>
    </row>
    <row r="10079" spans="1:2">
      <c r="A10079" s="55"/>
      <c r="B10079"/>
    </row>
    <row r="10080" spans="1:2">
      <c r="A10080" s="55"/>
      <c r="B10080"/>
    </row>
    <row r="10081" spans="1:2">
      <c r="A10081" s="55"/>
      <c r="B10081"/>
    </row>
    <row r="10082" spans="1:2">
      <c r="A10082" s="55"/>
      <c r="B10082"/>
    </row>
    <row r="10083" spans="1:2">
      <c r="A10083" s="55"/>
      <c r="B10083"/>
    </row>
    <row r="10084" spans="1:2">
      <c r="A10084" s="55"/>
      <c r="B10084"/>
    </row>
    <row r="10085" spans="1:2">
      <c r="A10085" s="55"/>
      <c r="B10085"/>
    </row>
    <row r="10086" spans="1:2">
      <c r="A10086" s="55"/>
      <c r="B10086"/>
    </row>
    <row r="10087" spans="1:2">
      <c r="A10087" s="55"/>
      <c r="B10087"/>
    </row>
    <row r="10088" spans="1:2">
      <c r="A10088" s="55"/>
      <c r="B10088"/>
    </row>
    <row r="10089" spans="1:2">
      <c r="A10089" s="55"/>
      <c r="B10089"/>
    </row>
    <row r="10090" spans="1:2">
      <c r="A10090" s="55"/>
      <c r="B10090"/>
    </row>
    <row r="10091" spans="1:2">
      <c r="A10091" s="55"/>
      <c r="B10091"/>
    </row>
    <row r="10092" spans="1:2">
      <c r="A10092" s="55"/>
      <c r="B10092"/>
    </row>
    <row r="10093" spans="1:2">
      <c r="A10093" s="55"/>
      <c r="B10093"/>
    </row>
    <row r="10094" spans="1:2">
      <c r="A10094" s="55"/>
      <c r="B10094"/>
    </row>
    <row r="10095" spans="1:2">
      <c r="A10095" s="55"/>
      <c r="B10095"/>
    </row>
    <row r="10096" spans="1:2">
      <c r="A10096" s="55"/>
      <c r="B10096"/>
    </row>
    <row r="10097" spans="1:2">
      <c r="A10097" s="55"/>
      <c r="B10097"/>
    </row>
    <row r="10098" spans="1:2">
      <c r="A10098" s="55"/>
      <c r="B10098"/>
    </row>
    <row r="10099" spans="1:2">
      <c r="A10099" s="55"/>
      <c r="B10099"/>
    </row>
    <row r="10100" spans="1:2">
      <c r="A10100" s="55"/>
      <c r="B10100"/>
    </row>
    <row r="10101" spans="1:2">
      <c r="A10101" s="55"/>
      <c r="B10101"/>
    </row>
    <row r="10102" spans="1:2">
      <c r="A10102" s="55"/>
      <c r="B10102"/>
    </row>
    <row r="10103" spans="1:2">
      <c r="A10103" s="55"/>
      <c r="B10103"/>
    </row>
    <row r="10104" spans="1:2">
      <c r="A10104" s="55"/>
      <c r="B10104"/>
    </row>
    <row r="10105" spans="1:2">
      <c r="A10105" s="55"/>
      <c r="B10105"/>
    </row>
    <row r="10106" spans="1:2">
      <c r="A10106" s="55"/>
      <c r="B10106"/>
    </row>
    <row r="10107" spans="1:2">
      <c r="A10107" s="55"/>
      <c r="B10107"/>
    </row>
    <row r="10108" spans="1:2">
      <c r="A10108" s="55"/>
      <c r="B10108"/>
    </row>
    <row r="10109" spans="1:2">
      <c r="A10109" s="55"/>
      <c r="B10109"/>
    </row>
    <row r="10110" spans="1:2">
      <c r="A10110" s="55"/>
      <c r="B10110"/>
    </row>
    <row r="10111" spans="1:2">
      <c r="A10111" s="55"/>
      <c r="B10111"/>
    </row>
    <row r="10112" spans="1:2">
      <c r="A10112" s="55"/>
      <c r="B10112"/>
    </row>
    <row r="10113" spans="1:2">
      <c r="A10113" s="55"/>
      <c r="B10113"/>
    </row>
    <row r="10114" spans="1:2">
      <c r="A10114" s="55"/>
      <c r="B10114"/>
    </row>
    <row r="10115" spans="1:2">
      <c r="A10115" s="55"/>
      <c r="B10115"/>
    </row>
    <row r="10116" spans="1:2">
      <c r="A10116" s="55"/>
      <c r="B10116"/>
    </row>
    <row r="10117" spans="1:2">
      <c r="A10117" s="55"/>
      <c r="B10117"/>
    </row>
    <row r="10118" spans="1:2">
      <c r="A10118" s="55"/>
      <c r="B10118"/>
    </row>
    <row r="10119" spans="1:2">
      <c r="A10119" s="55"/>
      <c r="B10119"/>
    </row>
    <row r="10120" spans="1:2">
      <c r="A10120" s="55"/>
      <c r="B10120"/>
    </row>
    <row r="10121" spans="1:2">
      <c r="A10121" s="55"/>
      <c r="B10121"/>
    </row>
    <row r="10122" spans="1:2">
      <c r="A10122" s="55"/>
      <c r="B10122"/>
    </row>
    <row r="10123" spans="1:2">
      <c r="A10123" s="55"/>
      <c r="B10123"/>
    </row>
    <row r="10124" spans="1:2">
      <c r="A10124" s="55"/>
      <c r="B10124"/>
    </row>
    <row r="10125" spans="1:2">
      <c r="A10125" s="55"/>
      <c r="B10125"/>
    </row>
    <row r="10126" spans="1:2">
      <c r="A10126" s="55"/>
      <c r="B10126"/>
    </row>
    <row r="10127" spans="1:2">
      <c r="A10127" s="55"/>
      <c r="B10127"/>
    </row>
    <row r="10128" spans="1:2">
      <c r="A10128" s="55"/>
      <c r="B10128"/>
    </row>
    <row r="10129" spans="1:2">
      <c r="A10129" s="55"/>
      <c r="B10129"/>
    </row>
    <row r="10130" spans="1:2">
      <c r="A10130" s="55"/>
      <c r="B10130"/>
    </row>
    <row r="10131" spans="1:2">
      <c r="A10131" s="55"/>
      <c r="B10131"/>
    </row>
    <row r="10132" spans="1:2">
      <c r="A10132" s="55"/>
      <c r="B10132"/>
    </row>
    <row r="10133" spans="1:2">
      <c r="A10133" s="55"/>
      <c r="B10133"/>
    </row>
    <row r="10134" spans="1:2">
      <c r="A10134" s="55"/>
      <c r="B10134"/>
    </row>
    <row r="10135" spans="1:2">
      <c r="A10135" s="55"/>
      <c r="B10135"/>
    </row>
    <row r="10136" spans="1:2">
      <c r="A10136" s="55"/>
      <c r="B10136"/>
    </row>
    <row r="10137" spans="1:2">
      <c r="A10137" s="55"/>
      <c r="B10137"/>
    </row>
    <row r="10138" spans="1:2">
      <c r="A10138" s="55"/>
      <c r="B10138"/>
    </row>
    <row r="10139" spans="1:2">
      <c r="A10139" s="55"/>
      <c r="B10139"/>
    </row>
    <row r="10140" spans="1:2">
      <c r="A10140" s="55"/>
      <c r="B10140"/>
    </row>
    <row r="10141" spans="1:2">
      <c r="A10141" s="55"/>
      <c r="B10141"/>
    </row>
    <row r="10142" spans="1:2">
      <c r="A10142" s="55"/>
      <c r="B10142"/>
    </row>
    <row r="10143" spans="1:2">
      <c r="A10143" s="55"/>
      <c r="B10143"/>
    </row>
    <row r="10144" spans="1:2">
      <c r="A10144" s="55"/>
      <c r="B10144"/>
    </row>
    <row r="10145" spans="1:2">
      <c r="A10145" s="55"/>
      <c r="B10145"/>
    </row>
    <row r="10146" spans="1:2">
      <c r="A10146" s="55"/>
      <c r="B10146"/>
    </row>
    <row r="10147" spans="1:2">
      <c r="A10147" s="55"/>
      <c r="B10147"/>
    </row>
    <row r="10148" spans="1:2">
      <c r="A10148" s="55"/>
      <c r="B10148"/>
    </row>
    <row r="10149" spans="1:2">
      <c r="A10149" s="55"/>
      <c r="B10149"/>
    </row>
    <row r="10150" spans="1:2">
      <c r="A10150" s="55"/>
      <c r="B10150"/>
    </row>
    <row r="10151" spans="1:2">
      <c r="A10151" s="55"/>
      <c r="B10151"/>
    </row>
    <row r="10152" spans="1:2">
      <c r="A10152" s="55"/>
      <c r="B10152"/>
    </row>
    <row r="10153" spans="1:2">
      <c r="A10153" s="55"/>
      <c r="B10153"/>
    </row>
    <row r="10154" spans="1:2">
      <c r="A10154" s="55"/>
      <c r="B10154"/>
    </row>
    <row r="10155" spans="1:2">
      <c r="A10155" s="55"/>
      <c r="B10155"/>
    </row>
    <row r="10156" spans="1:2">
      <c r="A10156" s="55"/>
      <c r="B10156"/>
    </row>
    <row r="10157" spans="1:2">
      <c r="A10157" s="55"/>
      <c r="B10157"/>
    </row>
    <row r="10158" spans="1:2">
      <c r="A10158" s="55"/>
      <c r="B10158"/>
    </row>
    <row r="10159" spans="1:2">
      <c r="A10159" s="55"/>
      <c r="B10159"/>
    </row>
    <row r="10160" spans="1:2">
      <c r="A10160" s="55"/>
      <c r="B10160"/>
    </row>
    <row r="10161" spans="1:2">
      <c r="A10161" s="55"/>
      <c r="B10161"/>
    </row>
    <row r="10162" spans="1:2">
      <c r="A10162" s="55"/>
      <c r="B10162"/>
    </row>
    <row r="10163" spans="1:2">
      <c r="A10163" s="55"/>
      <c r="B10163"/>
    </row>
    <row r="10164" spans="1:2">
      <c r="A10164" s="55"/>
      <c r="B10164"/>
    </row>
    <row r="10165" spans="1:2">
      <c r="A10165" s="55"/>
      <c r="B10165"/>
    </row>
    <row r="10166" spans="1:2">
      <c r="A10166" s="55"/>
      <c r="B10166"/>
    </row>
    <row r="10167" spans="1:2">
      <c r="A10167" s="55"/>
      <c r="B10167"/>
    </row>
    <row r="10168" spans="1:2">
      <c r="A10168" s="55"/>
      <c r="B10168"/>
    </row>
    <row r="10169" spans="1:2">
      <c r="A10169" s="55"/>
      <c r="B10169"/>
    </row>
    <row r="10170" spans="1:2">
      <c r="A10170" s="55"/>
      <c r="B10170"/>
    </row>
    <row r="10171" spans="1:2">
      <c r="A10171" s="55"/>
      <c r="B10171"/>
    </row>
    <row r="10172" spans="1:2">
      <c r="A10172" s="55"/>
      <c r="B10172"/>
    </row>
    <row r="10173" spans="1:2">
      <c r="A10173" s="55"/>
      <c r="B10173"/>
    </row>
    <row r="10174" spans="1:2">
      <c r="A10174" s="55"/>
      <c r="B10174"/>
    </row>
    <row r="10175" spans="1:2">
      <c r="A10175" s="55"/>
      <c r="B10175"/>
    </row>
    <row r="10176" spans="1:2">
      <c r="A10176" s="55"/>
      <c r="B10176"/>
    </row>
    <row r="10177" spans="1:2">
      <c r="A10177" s="55"/>
      <c r="B10177"/>
    </row>
    <row r="10178" spans="1:2">
      <c r="A10178" s="55"/>
      <c r="B10178"/>
    </row>
    <row r="10179" spans="1:2">
      <c r="A10179" s="55"/>
      <c r="B10179"/>
    </row>
    <row r="10180" spans="1:2">
      <c r="A10180" s="55"/>
      <c r="B10180"/>
    </row>
    <row r="10181" spans="1:2">
      <c r="A10181" s="55"/>
      <c r="B10181"/>
    </row>
    <row r="10182" spans="1:2">
      <c r="A10182" s="55"/>
      <c r="B10182"/>
    </row>
    <row r="10183" spans="1:2">
      <c r="A10183" s="55"/>
      <c r="B10183"/>
    </row>
    <row r="10184" spans="1:2">
      <c r="A10184" s="55"/>
      <c r="B10184"/>
    </row>
    <row r="10185" spans="1:2">
      <c r="A10185" s="55"/>
      <c r="B10185"/>
    </row>
    <row r="10186" spans="1:2">
      <c r="A10186" s="55"/>
      <c r="B10186"/>
    </row>
    <row r="10187" spans="1:2">
      <c r="A10187" s="55"/>
      <c r="B10187"/>
    </row>
    <row r="10188" spans="1:2">
      <c r="A10188" s="55"/>
      <c r="B10188"/>
    </row>
    <row r="10189" spans="1:2">
      <c r="A10189" s="55"/>
      <c r="B10189"/>
    </row>
    <row r="10190" spans="1:2">
      <c r="A10190" s="55"/>
      <c r="B10190"/>
    </row>
    <row r="10191" spans="1:2">
      <c r="A10191" s="55"/>
      <c r="B10191"/>
    </row>
    <row r="10192" spans="1:2">
      <c r="A10192" s="55"/>
      <c r="B10192"/>
    </row>
    <row r="10193" spans="1:2">
      <c r="A10193" s="55"/>
      <c r="B10193"/>
    </row>
    <row r="10194" spans="1:2">
      <c r="A10194" s="55"/>
      <c r="B10194"/>
    </row>
    <row r="10195" spans="1:2">
      <c r="A10195" s="55"/>
      <c r="B10195"/>
    </row>
    <row r="10196" spans="1:2">
      <c r="A10196" s="55"/>
      <c r="B10196"/>
    </row>
    <row r="10197" spans="1:2">
      <c r="A10197" s="55"/>
      <c r="B10197"/>
    </row>
    <row r="10198" spans="1:2">
      <c r="A10198" s="55"/>
      <c r="B10198"/>
    </row>
    <row r="10199" spans="1:2">
      <c r="A10199" s="55"/>
      <c r="B10199"/>
    </row>
    <row r="10200" spans="1:2">
      <c r="A10200" s="55"/>
      <c r="B10200"/>
    </row>
    <row r="10201" spans="1:2">
      <c r="A10201" s="55"/>
      <c r="B10201"/>
    </row>
    <row r="10202" spans="1:2">
      <c r="A10202" s="55"/>
      <c r="B10202"/>
    </row>
    <row r="10203" spans="1:2">
      <c r="A10203" s="55"/>
      <c r="B10203"/>
    </row>
    <row r="10204" spans="1:2">
      <c r="A10204" s="55"/>
      <c r="B10204"/>
    </row>
    <row r="10205" spans="1:2">
      <c r="A10205" s="55"/>
      <c r="B10205"/>
    </row>
    <row r="10206" spans="1:2">
      <c r="A10206" s="55"/>
      <c r="B10206"/>
    </row>
    <row r="10207" spans="1:2">
      <c r="A10207" s="55"/>
      <c r="B10207"/>
    </row>
    <row r="10208" spans="1:2">
      <c r="A10208" s="55"/>
      <c r="B10208"/>
    </row>
    <row r="10209" spans="1:2">
      <c r="A10209" s="55"/>
      <c r="B10209"/>
    </row>
    <row r="10210" spans="1:2">
      <c r="A10210" s="55"/>
      <c r="B10210"/>
    </row>
    <row r="10211" spans="1:2">
      <c r="A10211" s="55"/>
      <c r="B10211"/>
    </row>
    <row r="10212" spans="1:2">
      <c r="A10212" s="55"/>
      <c r="B10212"/>
    </row>
    <row r="10213" spans="1:2">
      <c r="A10213" s="55"/>
      <c r="B10213"/>
    </row>
    <row r="10214" spans="1:2">
      <c r="A10214" s="55"/>
      <c r="B10214"/>
    </row>
    <row r="10215" spans="1:2">
      <c r="A10215" s="55"/>
      <c r="B10215"/>
    </row>
    <row r="10216" spans="1:2">
      <c r="A10216" s="55"/>
      <c r="B10216"/>
    </row>
    <row r="10217" spans="1:2">
      <c r="A10217" s="55"/>
      <c r="B10217"/>
    </row>
    <row r="10218" spans="1:2">
      <c r="A10218" s="55"/>
      <c r="B10218"/>
    </row>
    <row r="10219" spans="1:2">
      <c r="A10219" s="55"/>
      <c r="B10219"/>
    </row>
    <row r="10220" spans="1:2">
      <c r="A10220" s="55"/>
      <c r="B10220"/>
    </row>
    <row r="10221" spans="1:2">
      <c r="A10221" s="55"/>
      <c r="B10221"/>
    </row>
    <row r="10222" spans="1:2">
      <c r="A10222" s="55"/>
      <c r="B10222"/>
    </row>
    <row r="10223" spans="1:2">
      <c r="A10223" s="55"/>
      <c r="B10223"/>
    </row>
    <row r="10224" spans="1:2">
      <c r="A10224" s="55"/>
      <c r="B10224"/>
    </row>
    <row r="10225" spans="1:2">
      <c r="A10225" s="55"/>
      <c r="B10225"/>
    </row>
    <row r="10226" spans="1:2">
      <c r="A10226" s="55"/>
      <c r="B10226"/>
    </row>
    <row r="10227" spans="1:2">
      <c r="A10227" s="55"/>
      <c r="B10227"/>
    </row>
    <row r="10228" spans="1:2">
      <c r="A10228" s="55"/>
      <c r="B10228"/>
    </row>
    <row r="10229" spans="1:2">
      <c r="A10229" s="55"/>
      <c r="B10229"/>
    </row>
    <row r="10230" spans="1:2">
      <c r="A10230" s="55"/>
      <c r="B10230"/>
    </row>
    <row r="10231" spans="1:2">
      <c r="A10231" s="55"/>
      <c r="B10231"/>
    </row>
    <row r="10232" spans="1:2">
      <c r="A10232" s="55"/>
      <c r="B10232"/>
    </row>
    <row r="10233" spans="1:2">
      <c r="A10233" s="55"/>
      <c r="B10233"/>
    </row>
    <row r="10234" spans="1:2">
      <c r="A10234" s="55"/>
      <c r="B10234"/>
    </row>
    <row r="10235" spans="1:2">
      <c r="A10235" s="55"/>
      <c r="B10235"/>
    </row>
    <row r="10236" spans="1:2">
      <c r="A10236" s="55"/>
      <c r="B10236"/>
    </row>
    <row r="10237" spans="1:2">
      <c r="A10237" s="55"/>
      <c r="B10237"/>
    </row>
    <row r="10238" spans="1:2">
      <c r="A10238" s="55"/>
      <c r="B10238"/>
    </row>
    <row r="10239" spans="1:2">
      <c r="A10239" s="55"/>
      <c r="B10239"/>
    </row>
    <row r="10240" spans="1:2">
      <c r="A10240" s="55"/>
      <c r="B10240"/>
    </row>
    <row r="10241" spans="1:2">
      <c r="A10241" s="55"/>
      <c r="B10241"/>
    </row>
    <row r="10242" spans="1:2">
      <c r="A10242" s="55"/>
      <c r="B10242"/>
    </row>
    <row r="10243" spans="1:2">
      <c r="A10243" s="55"/>
      <c r="B10243"/>
    </row>
    <row r="10244" spans="1:2">
      <c r="A10244" s="55"/>
      <c r="B10244"/>
    </row>
    <row r="10245" spans="1:2">
      <c r="A10245" s="55"/>
      <c r="B10245"/>
    </row>
    <row r="10246" spans="1:2">
      <c r="A10246" s="55"/>
      <c r="B10246"/>
    </row>
    <row r="10247" spans="1:2">
      <c r="A10247" s="55"/>
      <c r="B10247"/>
    </row>
    <row r="10248" spans="1:2">
      <c r="A10248" s="55"/>
      <c r="B10248"/>
    </row>
    <row r="10249" spans="1:2">
      <c r="A10249" s="55"/>
      <c r="B10249"/>
    </row>
    <row r="10250" spans="1:2">
      <c r="A10250" s="55"/>
      <c r="B10250"/>
    </row>
    <row r="10251" spans="1:2">
      <c r="A10251" s="55"/>
      <c r="B10251"/>
    </row>
    <row r="10252" spans="1:2">
      <c r="A10252" s="55"/>
      <c r="B10252"/>
    </row>
    <row r="10253" spans="1:2">
      <c r="A10253" s="55"/>
      <c r="B10253"/>
    </row>
    <row r="10254" spans="1:2">
      <c r="A10254" s="55"/>
      <c r="B10254"/>
    </row>
    <row r="10255" spans="1:2">
      <c r="A10255" s="55"/>
      <c r="B10255"/>
    </row>
    <row r="10256" spans="1:2">
      <c r="A10256" s="55"/>
      <c r="B10256"/>
    </row>
    <row r="10257" spans="1:2">
      <c r="A10257" s="55"/>
      <c r="B10257"/>
    </row>
    <row r="10258" spans="1:2">
      <c r="A10258" s="55"/>
      <c r="B10258"/>
    </row>
    <row r="10259" spans="1:2">
      <c r="A10259" s="55"/>
      <c r="B10259"/>
    </row>
    <row r="10260" spans="1:2">
      <c r="A10260" s="55"/>
      <c r="B10260"/>
    </row>
    <row r="10261" spans="1:2">
      <c r="A10261" s="55"/>
      <c r="B10261"/>
    </row>
    <row r="10262" spans="1:2">
      <c r="A10262" s="55"/>
      <c r="B10262"/>
    </row>
    <row r="10263" spans="1:2">
      <c r="A10263" s="55"/>
      <c r="B10263"/>
    </row>
    <row r="10264" spans="1:2">
      <c r="A10264" s="55"/>
      <c r="B10264"/>
    </row>
    <row r="10265" spans="1:2">
      <c r="A10265" s="55"/>
      <c r="B10265"/>
    </row>
    <row r="10266" spans="1:2">
      <c r="A10266" s="55"/>
      <c r="B10266"/>
    </row>
    <row r="10267" spans="1:2">
      <c r="A10267" s="55"/>
      <c r="B10267"/>
    </row>
    <row r="10268" spans="1:2">
      <c r="A10268" s="55"/>
      <c r="B10268"/>
    </row>
    <row r="10269" spans="1:2">
      <c r="A10269" s="55"/>
      <c r="B10269"/>
    </row>
    <row r="10270" spans="1:2">
      <c r="A10270" s="55"/>
      <c r="B10270"/>
    </row>
    <row r="10271" spans="1:2">
      <c r="A10271" s="55"/>
      <c r="B10271"/>
    </row>
    <row r="10272" spans="1:2">
      <c r="A10272" s="55"/>
      <c r="B10272"/>
    </row>
    <row r="10273" spans="1:2">
      <c r="A10273" s="55"/>
      <c r="B10273"/>
    </row>
    <row r="10274" spans="1:2">
      <c r="A10274" s="55"/>
      <c r="B10274"/>
    </row>
    <row r="10275" spans="1:2">
      <c r="A10275" s="55"/>
      <c r="B10275"/>
    </row>
    <row r="10276" spans="1:2">
      <c r="A10276" s="55"/>
      <c r="B10276"/>
    </row>
    <row r="10277" spans="1:2">
      <c r="A10277" s="55"/>
      <c r="B10277"/>
    </row>
    <row r="10278" spans="1:2">
      <c r="A10278" s="55"/>
      <c r="B10278"/>
    </row>
    <row r="10279" spans="1:2">
      <c r="A10279" s="55"/>
      <c r="B10279"/>
    </row>
    <row r="10280" spans="1:2">
      <c r="A10280" s="55"/>
      <c r="B10280"/>
    </row>
    <row r="10281" spans="1:2">
      <c r="A10281" s="55"/>
      <c r="B10281"/>
    </row>
    <row r="10282" spans="1:2">
      <c r="A10282" s="55"/>
      <c r="B10282"/>
    </row>
    <row r="10283" spans="1:2">
      <c r="A10283" s="55"/>
      <c r="B10283"/>
    </row>
    <row r="10284" spans="1:2">
      <c r="A10284" s="55"/>
      <c r="B10284"/>
    </row>
    <row r="10285" spans="1:2">
      <c r="A10285" s="55"/>
      <c r="B10285"/>
    </row>
    <row r="10286" spans="1:2">
      <c r="A10286" s="55"/>
      <c r="B10286"/>
    </row>
    <row r="10287" spans="1:2">
      <c r="A10287" s="55"/>
      <c r="B10287"/>
    </row>
    <row r="10288" spans="1:2">
      <c r="A10288" s="55"/>
      <c r="B10288"/>
    </row>
    <row r="10289" spans="1:2">
      <c r="A10289" s="55"/>
      <c r="B10289"/>
    </row>
    <row r="10290" spans="1:2">
      <c r="A10290" s="55"/>
      <c r="B10290"/>
    </row>
    <row r="10291" spans="1:2">
      <c r="A10291" s="55"/>
      <c r="B10291"/>
    </row>
    <row r="10292" spans="1:2">
      <c r="A10292" s="55"/>
      <c r="B10292"/>
    </row>
    <row r="10293" spans="1:2">
      <c r="A10293" s="55"/>
      <c r="B10293"/>
    </row>
    <row r="10294" spans="1:2">
      <c r="A10294" s="55"/>
      <c r="B10294"/>
    </row>
    <row r="10295" spans="1:2">
      <c r="A10295" s="55"/>
      <c r="B10295"/>
    </row>
    <row r="10296" spans="1:2">
      <c r="A10296" s="55"/>
      <c r="B10296"/>
    </row>
    <row r="10297" spans="1:2">
      <c r="A10297" s="55"/>
      <c r="B10297"/>
    </row>
    <row r="10298" spans="1:2">
      <c r="A10298" s="55"/>
      <c r="B10298"/>
    </row>
    <row r="10299" spans="1:2">
      <c r="A10299" s="55"/>
      <c r="B10299"/>
    </row>
    <row r="10300" spans="1:2">
      <c r="A10300" s="55"/>
      <c r="B10300"/>
    </row>
    <row r="10301" spans="1:2">
      <c r="A10301" s="55"/>
      <c r="B10301"/>
    </row>
    <row r="10302" spans="1:2">
      <c r="A10302" s="55"/>
      <c r="B10302"/>
    </row>
    <row r="10303" spans="1:2">
      <c r="A10303" s="55"/>
      <c r="B10303"/>
    </row>
    <row r="10304" spans="1:2">
      <c r="A10304" s="55"/>
      <c r="B10304"/>
    </row>
    <row r="10305" spans="1:2">
      <c r="A10305" s="55"/>
      <c r="B10305"/>
    </row>
    <row r="10306" spans="1:2">
      <c r="A10306" s="55"/>
      <c r="B10306"/>
    </row>
    <row r="10307" spans="1:2">
      <c r="A10307" s="55"/>
      <c r="B10307"/>
    </row>
    <row r="10308" spans="1:2">
      <c r="A10308" s="55"/>
      <c r="B10308"/>
    </row>
    <row r="10309" spans="1:2">
      <c r="A10309" s="55"/>
      <c r="B10309"/>
    </row>
    <row r="10310" spans="1:2">
      <c r="A10310" s="55"/>
      <c r="B10310"/>
    </row>
    <row r="10311" spans="1:2">
      <c r="A10311" s="55"/>
      <c r="B10311"/>
    </row>
    <row r="10312" spans="1:2">
      <c r="A10312" s="55"/>
      <c r="B10312"/>
    </row>
    <row r="10313" spans="1:2">
      <c r="A10313" s="55"/>
      <c r="B10313"/>
    </row>
    <row r="10314" spans="1:2">
      <c r="A10314" s="55"/>
      <c r="B10314"/>
    </row>
    <row r="10315" spans="1:2">
      <c r="A10315" s="55"/>
      <c r="B10315"/>
    </row>
    <row r="10316" spans="1:2">
      <c r="A10316" s="55"/>
      <c r="B10316"/>
    </row>
    <row r="10317" spans="1:2">
      <c r="A10317" s="55"/>
      <c r="B10317"/>
    </row>
    <row r="10318" spans="1:2">
      <c r="A10318" s="55"/>
      <c r="B10318"/>
    </row>
    <row r="10319" spans="1:2">
      <c r="A10319" s="55"/>
      <c r="B10319"/>
    </row>
    <row r="10320" spans="1:2">
      <c r="A10320" s="55"/>
      <c r="B10320"/>
    </row>
    <row r="10321" spans="1:2">
      <c r="A10321" s="55"/>
      <c r="B10321"/>
    </row>
    <row r="10322" spans="1:2">
      <c r="A10322" s="55"/>
      <c r="B10322"/>
    </row>
    <row r="10323" spans="1:2">
      <c r="A10323" s="55"/>
      <c r="B10323"/>
    </row>
    <row r="10324" spans="1:2">
      <c r="A10324" s="55"/>
      <c r="B10324"/>
    </row>
    <row r="10325" spans="1:2">
      <c r="A10325" s="55"/>
      <c r="B10325"/>
    </row>
    <row r="10326" spans="1:2">
      <c r="A10326" s="55"/>
      <c r="B10326"/>
    </row>
    <row r="10327" spans="1:2">
      <c r="A10327" s="55"/>
      <c r="B10327"/>
    </row>
    <row r="10328" spans="1:2">
      <c r="A10328" s="55"/>
      <c r="B10328"/>
    </row>
    <row r="10329" spans="1:2">
      <c r="A10329" s="55"/>
      <c r="B10329"/>
    </row>
    <row r="10330" spans="1:2">
      <c r="A10330" s="55"/>
      <c r="B10330"/>
    </row>
    <row r="10331" spans="1:2">
      <c r="A10331" s="55"/>
      <c r="B10331"/>
    </row>
    <row r="10332" spans="1:2">
      <c r="A10332" s="55"/>
      <c r="B10332"/>
    </row>
    <row r="10333" spans="1:2">
      <c r="A10333" s="55"/>
      <c r="B10333"/>
    </row>
    <row r="10334" spans="1:2">
      <c r="A10334" s="55"/>
      <c r="B10334"/>
    </row>
    <row r="10335" spans="1:2">
      <c r="A10335" s="55"/>
      <c r="B10335"/>
    </row>
    <row r="10336" spans="1:2">
      <c r="A10336" s="55"/>
      <c r="B10336"/>
    </row>
    <row r="10337" spans="1:2">
      <c r="A10337" s="55"/>
      <c r="B10337"/>
    </row>
    <row r="10338" spans="1:2">
      <c r="A10338" s="55"/>
      <c r="B10338"/>
    </row>
    <row r="10339" spans="1:2">
      <c r="A10339" s="55"/>
      <c r="B10339"/>
    </row>
    <row r="10340" spans="1:2">
      <c r="A10340" s="55"/>
      <c r="B10340"/>
    </row>
    <row r="10341" spans="1:2">
      <c r="A10341" s="55"/>
      <c r="B10341"/>
    </row>
    <row r="10342" spans="1:2">
      <c r="A10342" s="55"/>
      <c r="B10342"/>
    </row>
    <row r="10343" spans="1:2">
      <c r="A10343" s="55"/>
      <c r="B10343"/>
    </row>
    <row r="10344" spans="1:2">
      <c r="A10344" s="55"/>
      <c r="B10344"/>
    </row>
    <row r="10345" spans="1:2">
      <c r="A10345" s="55"/>
      <c r="B10345"/>
    </row>
    <row r="10346" spans="1:2">
      <c r="A10346" s="55"/>
      <c r="B10346"/>
    </row>
    <row r="10347" spans="1:2">
      <c r="A10347" s="55"/>
      <c r="B10347"/>
    </row>
    <row r="10348" spans="1:2">
      <c r="A10348" s="55"/>
      <c r="B10348"/>
    </row>
    <row r="10349" spans="1:2">
      <c r="A10349" s="55"/>
      <c r="B10349"/>
    </row>
    <row r="10350" spans="1:2">
      <c r="A10350" s="55"/>
      <c r="B10350"/>
    </row>
    <row r="10351" spans="1:2">
      <c r="A10351" s="55"/>
      <c r="B10351"/>
    </row>
    <row r="10352" spans="1:2">
      <c r="A10352" s="55"/>
      <c r="B10352"/>
    </row>
    <row r="10353" spans="1:2">
      <c r="A10353" s="55"/>
      <c r="B10353"/>
    </row>
    <row r="10354" spans="1:2">
      <c r="A10354" s="55"/>
      <c r="B10354"/>
    </row>
    <row r="10355" spans="1:2">
      <c r="A10355" s="55"/>
      <c r="B10355"/>
    </row>
    <row r="10356" spans="1:2">
      <c r="A10356" s="55"/>
      <c r="B10356"/>
    </row>
    <row r="10357" spans="1:2">
      <c r="A10357" s="55"/>
      <c r="B10357"/>
    </row>
    <row r="10358" spans="1:2">
      <c r="A10358" s="55"/>
      <c r="B10358"/>
    </row>
    <row r="10359" spans="1:2">
      <c r="A10359" s="55"/>
      <c r="B10359"/>
    </row>
    <row r="10360" spans="1:2">
      <c r="A10360" s="55"/>
      <c r="B10360"/>
    </row>
    <row r="10361" spans="1:2">
      <c r="A10361" s="55"/>
      <c r="B10361"/>
    </row>
    <row r="10362" spans="1:2">
      <c r="A10362" s="55"/>
      <c r="B10362"/>
    </row>
    <row r="10363" spans="1:2">
      <c r="A10363" s="55"/>
      <c r="B10363"/>
    </row>
    <row r="10364" spans="1:2">
      <c r="A10364" s="55"/>
      <c r="B10364"/>
    </row>
    <row r="10365" spans="1:2">
      <c r="A10365" s="55"/>
      <c r="B10365"/>
    </row>
    <row r="10366" spans="1:2">
      <c r="A10366" s="55"/>
      <c r="B10366"/>
    </row>
    <row r="10367" spans="1:2">
      <c r="A10367" s="55"/>
      <c r="B10367"/>
    </row>
    <row r="10368" spans="1:2">
      <c r="A10368" s="55"/>
      <c r="B10368"/>
    </row>
    <row r="10369" spans="1:2">
      <c r="A10369" s="55"/>
      <c r="B10369"/>
    </row>
    <row r="10370" spans="1:2">
      <c r="A10370" s="55"/>
      <c r="B10370"/>
    </row>
    <row r="10371" spans="1:2">
      <c r="A10371" s="55"/>
      <c r="B10371"/>
    </row>
    <row r="10372" spans="1:2">
      <c r="A10372" s="55"/>
      <c r="B10372"/>
    </row>
    <row r="10373" spans="1:2">
      <c r="A10373" s="55"/>
      <c r="B10373"/>
    </row>
    <row r="10374" spans="1:2">
      <c r="A10374" s="55"/>
      <c r="B10374"/>
    </row>
    <row r="10375" spans="1:2">
      <c r="A10375" s="55"/>
      <c r="B10375"/>
    </row>
    <row r="10376" spans="1:2">
      <c r="A10376" s="55"/>
      <c r="B10376"/>
    </row>
    <row r="10377" spans="1:2">
      <c r="A10377" s="55"/>
      <c r="B10377"/>
    </row>
    <row r="10378" spans="1:2">
      <c r="A10378" s="55"/>
      <c r="B10378"/>
    </row>
    <row r="10379" spans="1:2">
      <c r="A10379" s="55"/>
      <c r="B10379"/>
    </row>
    <row r="10380" spans="1:2">
      <c r="A10380" s="55"/>
      <c r="B10380"/>
    </row>
    <row r="10381" spans="1:2">
      <c r="A10381" s="55"/>
      <c r="B10381"/>
    </row>
    <row r="10382" spans="1:2">
      <c r="A10382" s="55"/>
      <c r="B10382"/>
    </row>
    <row r="10383" spans="1:2">
      <c r="A10383" s="55"/>
      <c r="B10383"/>
    </row>
    <row r="10384" spans="1:2">
      <c r="A10384" s="55"/>
      <c r="B10384"/>
    </row>
    <row r="10385" spans="1:2">
      <c r="A10385" s="55"/>
      <c r="B10385"/>
    </row>
    <row r="10386" spans="1:2">
      <c r="A10386" s="55"/>
      <c r="B10386"/>
    </row>
    <row r="10387" spans="1:2">
      <c r="A10387" s="55"/>
      <c r="B10387"/>
    </row>
    <row r="10388" spans="1:2">
      <c r="A10388" s="55"/>
      <c r="B10388"/>
    </row>
    <row r="10389" spans="1:2">
      <c r="A10389" s="55"/>
      <c r="B10389"/>
    </row>
    <row r="10390" spans="1:2">
      <c r="A10390" s="55"/>
      <c r="B10390"/>
    </row>
    <row r="10391" spans="1:2">
      <c r="A10391" s="55"/>
      <c r="B10391"/>
    </row>
    <row r="10392" spans="1:2">
      <c r="A10392" s="55"/>
      <c r="B10392"/>
    </row>
    <row r="10393" spans="1:2">
      <c r="A10393" s="55"/>
      <c r="B10393"/>
    </row>
    <row r="10394" spans="1:2">
      <c r="A10394" s="55"/>
      <c r="B10394"/>
    </row>
    <row r="10395" spans="1:2">
      <c r="A10395" s="55"/>
      <c r="B10395"/>
    </row>
    <row r="10396" spans="1:2">
      <c r="A10396" s="55"/>
      <c r="B10396"/>
    </row>
    <row r="10397" spans="1:2">
      <c r="A10397" s="55"/>
      <c r="B10397"/>
    </row>
    <row r="10398" spans="1:2">
      <c r="A10398" s="55"/>
      <c r="B10398"/>
    </row>
    <row r="10399" spans="1:2">
      <c r="A10399" s="55"/>
      <c r="B10399"/>
    </row>
    <row r="10400" spans="1:2">
      <c r="A10400" s="55"/>
      <c r="B10400"/>
    </row>
    <row r="10401" spans="1:2">
      <c r="A10401" s="55"/>
      <c r="B10401"/>
    </row>
    <row r="10402" spans="1:2">
      <c r="A10402" s="55"/>
      <c r="B10402"/>
    </row>
    <row r="10403" spans="1:2">
      <c r="A10403" s="55"/>
      <c r="B10403"/>
    </row>
    <row r="10404" spans="1:2">
      <c r="A10404" s="55"/>
      <c r="B10404"/>
    </row>
    <row r="10405" spans="1:2">
      <c r="A10405" s="55"/>
      <c r="B10405"/>
    </row>
    <row r="10406" spans="1:2">
      <c r="A10406" s="55"/>
      <c r="B10406"/>
    </row>
    <row r="10407" spans="1:2">
      <c r="A10407" s="55"/>
      <c r="B10407"/>
    </row>
    <row r="10408" spans="1:2">
      <c r="A10408" s="55"/>
      <c r="B10408"/>
    </row>
    <row r="10409" spans="1:2">
      <c r="A10409" s="55"/>
      <c r="B10409"/>
    </row>
    <row r="10410" spans="1:2">
      <c r="A10410" s="55"/>
      <c r="B10410"/>
    </row>
    <row r="10411" spans="1:2">
      <c r="A10411" s="55"/>
      <c r="B10411"/>
    </row>
    <row r="10412" spans="1:2">
      <c r="A10412" s="55"/>
      <c r="B10412"/>
    </row>
    <row r="10413" spans="1:2">
      <c r="A10413" s="55"/>
      <c r="B10413"/>
    </row>
    <row r="10414" spans="1:2">
      <c r="A10414" s="55"/>
      <c r="B10414"/>
    </row>
    <row r="10415" spans="1:2">
      <c r="A10415" s="55"/>
      <c r="B10415"/>
    </row>
    <row r="10416" spans="1:2">
      <c r="A10416" s="55"/>
      <c r="B10416"/>
    </row>
    <row r="10417" spans="1:2">
      <c r="A10417" s="55"/>
      <c r="B10417"/>
    </row>
    <row r="10418" spans="1:2">
      <c r="A10418" s="55"/>
      <c r="B10418"/>
    </row>
    <row r="10419" spans="1:2">
      <c r="A10419" s="55"/>
      <c r="B10419"/>
    </row>
    <row r="10420" spans="1:2">
      <c r="A10420" s="55"/>
      <c r="B10420"/>
    </row>
    <row r="10421" spans="1:2">
      <c r="A10421" s="55"/>
      <c r="B10421"/>
    </row>
    <row r="10422" spans="1:2">
      <c r="A10422" s="55"/>
      <c r="B10422"/>
    </row>
    <row r="10423" spans="1:2">
      <c r="A10423" s="55"/>
      <c r="B10423"/>
    </row>
    <row r="10424" spans="1:2">
      <c r="A10424" s="55"/>
      <c r="B10424"/>
    </row>
    <row r="10425" spans="1:2">
      <c r="A10425" s="55"/>
      <c r="B10425"/>
    </row>
    <row r="10426" spans="1:2">
      <c r="A10426" s="55"/>
      <c r="B10426"/>
    </row>
    <row r="10427" spans="1:2">
      <c r="A10427" s="55"/>
      <c r="B10427"/>
    </row>
    <row r="10428" spans="1:2">
      <c r="A10428" s="55"/>
      <c r="B10428"/>
    </row>
    <row r="10429" spans="1:2">
      <c r="A10429" s="55"/>
      <c r="B10429"/>
    </row>
    <row r="10430" spans="1:2">
      <c r="A10430" s="55"/>
      <c r="B10430"/>
    </row>
    <row r="10431" spans="1:2">
      <c r="A10431" s="55"/>
      <c r="B10431"/>
    </row>
    <row r="10432" spans="1:2">
      <c r="A10432" s="55"/>
      <c r="B10432"/>
    </row>
    <row r="10433" spans="1:2">
      <c r="A10433" s="55"/>
      <c r="B10433"/>
    </row>
    <row r="10434" spans="1:2">
      <c r="A10434" s="55"/>
      <c r="B10434"/>
    </row>
    <row r="10435" spans="1:2">
      <c r="A10435" s="55"/>
      <c r="B10435"/>
    </row>
    <row r="10436" spans="1:2">
      <c r="A10436" s="55"/>
      <c r="B10436"/>
    </row>
    <row r="10437" spans="1:2">
      <c r="A10437" s="55"/>
      <c r="B10437"/>
    </row>
    <row r="10438" spans="1:2">
      <c r="A10438" s="55"/>
      <c r="B10438"/>
    </row>
    <row r="10439" spans="1:2">
      <c r="A10439" s="55"/>
      <c r="B10439"/>
    </row>
    <row r="10440" spans="1:2">
      <c r="A10440" s="55"/>
      <c r="B10440"/>
    </row>
    <row r="10441" spans="1:2">
      <c r="A10441" s="55"/>
      <c r="B10441"/>
    </row>
    <row r="10442" spans="1:2">
      <c r="A10442" s="55"/>
      <c r="B10442"/>
    </row>
    <row r="10443" spans="1:2">
      <c r="A10443" s="55"/>
      <c r="B10443"/>
    </row>
    <row r="10444" spans="1:2">
      <c r="A10444" s="55"/>
      <c r="B10444"/>
    </row>
    <row r="10445" spans="1:2">
      <c r="A10445" s="55"/>
      <c r="B10445"/>
    </row>
    <row r="10446" spans="1:2">
      <c r="A10446" s="55"/>
      <c r="B10446"/>
    </row>
    <row r="10447" spans="1:2">
      <c r="A10447" s="55"/>
      <c r="B10447"/>
    </row>
    <row r="10448" spans="1:2">
      <c r="A10448" s="55"/>
      <c r="B10448"/>
    </row>
    <row r="10449" spans="1:2">
      <c r="A10449" s="55"/>
      <c r="B10449"/>
    </row>
    <row r="10450" spans="1:2">
      <c r="A10450" s="55"/>
      <c r="B10450"/>
    </row>
    <row r="10451" spans="1:2">
      <c r="A10451" s="55"/>
      <c r="B10451"/>
    </row>
    <row r="10452" spans="1:2">
      <c r="A10452" s="55"/>
      <c r="B10452"/>
    </row>
    <row r="10453" spans="1:2">
      <c r="A10453" s="55"/>
      <c r="B10453"/>
    </row>
    <row r="10454" spans="1:2">
      <c r="A10454" s="55"/>
      <c r="B10454"/>
    </row>
    <row r="10455" spans="1:2">
      <c r="A10455" s="55"/>
      <c r="B10455"/>
    </row>
    <row r="10456" spans="1:2">
      <c r="A10456" s="55"/>
      <c r="B10456"/>
    </row>
    <row r="10457" spans="1:2">
      <c r="A10457" s="55"/>
      <c r="B10457"/>
    </row>
    <row r="10458" spans="1:2">
      <c r="A10458" s="55"/>
      <c r="B10458"/>
    </row>
    <row r="10459" spans="1:2">
      <c r="A10459" s="55"/>
      <c r="B10459"/>
    </row>
    <row r="10460" spans="1:2">
      <c r="A10460" s="55"/>
      <c r="B10460"/>
    </row>
    <row r="10461" spans="1:2">
      <c r="A10461" s="55"/>
      <c r="B10461"/>
    </row>
    <row r="10462" spans="1:2">
      <c r="A10462" s="55"/>
      <c r="B10462"/>
    </row>
    <row r="10463" spans="1:2">
      <c r="A10463" s="55"/>
      <c r="B10463"/>
    </row>
    <row r="10464" spans="1:2">
      <c r="A10464" s="55"/>
      <c r="B10464"/>
    </row>
    <row r="10465" spans="1:2">
      <c r="A10465" s="55"/>
      <c r="B10465"/>
    </row>
    <row r="10466" spans="1:2">
      <c r="A10466" s="55"/>
      <c r="B10466"/>
    </row>
    <row r="10467" spans="1:2">
      <c r="A10467" s="55"/>
      <c r="B10467"/>
    </row>
    <row r="10468" spans="1:2">
      <c r="A10468" s="55"/>
      <c r="B10468"/>
    </row>
    <row r="10469" spans="1:2">
      <c r="A10469" s="55"/>
      <c r="B10469"/>
    </row>
    <row r="10470" spans="1:2">
      <c r="A10470" s="55"/>
      <c r="B10470"/>
    </row>
    <row r="10471" spans="1:2">
      <c r="A10471" s="55"/>
      <c r="B10471"/>
    </row>
    <row r="10472" spans="1:2">
      <c r="A10472" s="55"/>
      <c r="B10472"/>
    </row>
    <row r="10473" spans="1:2">
      <c r="A10473" s="55"/>
      <c r="B10473"/>
    </row>
    <row r="10474" spans="1:2">
      <c r="A10474" s="55"/>
      <c r="B10474"/>
    </row>
    <row r="10475" spans="1:2">
      <c r="A10475" s="55"/>
      <c r="B10475"/>
    </row>
    <row r="10476" spans="1:2">
      <c r="A10476" s="55"/>
      <c r="B10476"/>
    </row>
    <row r="10477" spans="1:2">
      <c r="A10477" s="55"/>
      <c r="B10477"/>
    </row>
    <row r="10478" spans="1:2">
      <c r="A10478" s="55"/>
      <c r="B10478"/>
    </row>
    <row r="10479" spans="1:2">
      <c r="A10479" s="55"/>
      <c r="B10479"/>
    </row>
    <row r="10480" spans="1:2">
      <c r="A10480" s="55"/>
      <c r="B10480"/>
    </row>
    <row r="10481" spans="1:2">
      <c r="A10481" s="55"/>
      <c r="B10481"/>
    </row>
    <row r="10482" spans="1:2">
      <c r="A10482" s="55"/>
      <c r="B10482"/>
    </row>
    <row r="10483" spans="1:2">
      <c r="A10483" s="55"/>
      <c r="B10483"/>
    </row>
    <row r="10484" spans="1:2">
      <c r="A10484" s="55"/>
      <c r="B10484"/>
    </row>
    <row r="10485" spans="1:2">
      <c r="A10485" s="55"/>
      <c r="B10485"/>
    </row>
    <row r="10486" spans="1:2">
      <c r="A10486" s="55"/>
      <c r="B10486"/>
    </row>
    <row r="10487" spans="1:2">
      <c r="A10487" s="55"/>
      <c r="B10487"/>
    </row>
    <row r="10488" spans="1:2">
      <c r="A10488" s="55"/>
      <c r="B10488"/>
    </row>
    <row r="10489" spans="1:2">
      <c r="A10489" s="55"/>
      <c r="B10489"/>
    </row>
    <row r="10490" spans="1:2">
      <c r="A10490" s="55"/>
      <c r="B10490"/>
    </row>
    <row r="10491" spans="1:2">
      <c r="A10491" s="55"/>
      <c r="B10491"/>
    </row>
    <row r="10492" spans="1:2">
      <c r="A10492" s="55"/>
      <c r="B10492"/>
    </row>
    <row r="10493" spans="1:2">
      <c r="A10493" s="55"/>
      <c r="B10493"/>
    </row>
    <row r="10494" spans="1:2">
      <c r="A10494" s="55"/>
      <c r="B10494"/>
    </row>
    <row r="10495" spans="1:2">
      <c r="A10495" s="55"/>
      <c r="B10495"/>
    </row>
    <row r="10496" spans="1:2">
      <c r="A10496" s="55"/>
      <c r="B10496"/>
    </row>
    <row r="10497" spans="1:2">
      <c r="A10497" s="55"/>
      <c r="B10497"/>
    </row>
    <row r="10498" spans="1:2">
      <c r="A10498" s="55"/>
      <c r="B10498"/>
    </row>
    <row r="10499" spans="1:2">
      <c r="A10499" s="55"/>
      <c r="B10499"/>
    </row>
    <row r="10500" spans="1:2">
      <c r="A10500" s="55"/>
      <c r="B10500"/>
    </row>
    <row r="10501" spans="1:2">
      <c r="A10501" s="55"/>
      <c r="B10501"/>
    </row>
    <row r="10502" spans="1:2">
      <c r="A10502" s="55"/>
      <c r="B10502"/>
    </row>
    <row r="10503" spans="1:2">
      <c r="A10503" s="55"/>
      <c r="B10503"/>
    </row>
    <row r="10504" spans="1:2">
      <c r="A10504" s="55"/>
      <c r="B10504"/>
    </row>
    <row r="10505" spans="1:2">
      <c r="A10505" s="55"/>
      <c r="B10505"/>
    </row>
    <row r="10506" spans="1:2">
      <c r="A10506" s="55"/>
      <c r="B10506"/>
    </row>
    <row r="10507" spans="1:2">
      <c r="A10507" s="55"/>
      <c r="B10507"/>
    </row>
    <row r="10508" spans="1:2">
      <c r="A10508" s="55"/>
      <c r="B10508"/>
    </row>
    <row r="10509" spans="1:2">
      <c r="A10509" s="55"/>
      <c r="B10509"/>
    </row>
    <row r="10510" spans="1:2">
      <c r="A10510" s="55"/>
      <c r="B10510"/>
    </row>
    <row r="10511" spans="1:2">
      <c r="A10511" s="55"/>
      <c r="B10511"/>
    </row>
    <row r="10512" spans="1:2">
      <c r="A10512" s="55"/>
      <c r="B10512"/>
    </row>
    <row r="10513" spans="1:2">
      <c r="A10513" s="55"/>
      <c r="B10513"/>
    </row>
    <row r="10514" spans="1:2">
      <c r="A10514" s="55"/>
      <c r="B10514"/>
    </row>
    <row r="10515" spans="1:2">
      <c r="A10515" s="55"/>
      <c r="B10515"/>
    </row>
    <row r="10516" spans="1:2">
      <c r="A10516" s="55"/>
      <c r="B10516"/>
    </row>
    <row r="10517" spans="1:2">
      <c r="A10517" s="55"/>
      <c r="B10517"/>
    </row>
    <row r="10518" spans="1:2">
      <c r="A10518" s="55"/>
      <c r="B10518"/>
    </row>
    <row r="10519" spans="1:2">
      <c r="A10519" s="55"/>
      <c r="B10519"/>
    </row>
    <row r="10520" spans="1:2">
      <c r="A10520" s="55"/>
      <c r="B10520"/>
    </row>
    <row r="10521" spans="1:2">
      <c r="A10521" s="55"/>
      <c r="B10521"/>
    </row>
    <row r="10522" spans="1:2">
      <c r="A10522" s="55"/>
      <c r="B10522"/>
    </row>
    <row r="10523" spans="1:2">
      <c r="A10523" s="55"/>
      <c r="B10523"/>
    </row>
    <row r="10524" spans="1:2">
      <c r="A10524" s="55"/>
      <c r="B10524"/>
    </row>
    <row r="10525" spans="1:2">
      <c r="A10525" s="55"/>
      <c r="B10525"/>
    </row>
    <row r="10526" spans="1:2">
      <c r="A10526" s="55"/>
      <c r="B10526"/>
    </row>
    <row r="10527" spans="1:2">
      <c r="A10527" s="55"/>
      <c r="B10527"/>
    </row>
    <row r="10528" spans="1:2">
      <c r="A10528" s="55"/>
      <c r="B10528"/>
    </row>
    <row r="10529" spans="1:2">
      <c r="A10529" s="55"/>
      <c r="B10529"/>
    </row>
    <row r="10530" spans="1:2">
      <c r="A10530" s="55"/>
      <c r="B10530"/>
    </row>
    <row r="10531" spans="1:2">
      <c r="A10531" s="55"/>
      <c r="B10531"/>
    </row>
    <row r="10532" spans="1:2">
      <c r="A10532" s="55"/>
      <c r="B10532"/>
    </row>
    <row r="10533" spans="1:2">
      <c r="A10533" s="55"/>
      <c r="B10533"/>
    </row>
    <row r="10534" spans="1:2">
      <c r="A10534" s="55"/>
      <c r="B10534"/>
    </row>
    <row r="10535" spans="1:2">
      <c r="A10535" s="55"/>
      <c r="B10535"/>
    </row>
    <row r="10536" spans="1:2">
      <c r="A10536" s="55"/>
      <c r="B10536"/>
    </row>
    <row r="10537" spans="1:2">
      <c r="A10537" s="55"/>
      <c r="B10537"/>
    </row>
    <row r="10538" spans="1:2">
      <c r="A10538" s="55"/>
      <c r="B10538"/>
    </row>
    <row r="10539" spans="1:2">
      <c r="A10539" s="55"/>
      <c r="B10539"/>
    </row>
    <row r="10540" spans="1:2">
      <c r="A10540" s="55"/>
      <c r="B10540"/>
    </row>
    <row r="10541" spans="1:2">
      <c r="A10541" s="55"/>
      <c r="B10541"/>
    </row>
    <row r="10542" spans="1:2">
      <c r="A10542" s="55"/>
      <c r="B10542"/>
    </row>
    <row r="10543" spans="1:2">
      <c r="A10543" s="55"/>
      <c r="B10543"/>
    </row>
    <row r="10544" spans="1:2">
      <c r="A10544" s="55"/>
      <c r="B10544"/>
    </row>
    <row r="10545" spans="1:2">
      <c r="A10545" s="55"/>
      <c r="B10545"/>
    </row>
    <row r="10546" spans="1:2">
      <c r="A10546" s="55"/>
      <c r="B10546"/>
    </row>
    <row r="10547" spans="1:2">
      <c r="A10547" s="55"/>
      <c r="B10547"/>
    </row>
    <row r="10548" spans="1:2">
      <c r="A10548" s="55"/>
      <c r="B10548"/>
    </row>
    <row r="10549" spans="1:2">
      <c r="A10549" s="55"/>
      <c r="B10549"/>
    </row>
    <row r="10550" spans="1:2">
      <c r="A10550" s="55"/>
      <c r="B10550"/>
    </row>
    <row r="10551" spans="1:2">
      <c r="A10551" s="55"/>
      <c r="B10551"/>
    </row>
    <row r="10552" spans="1:2">
      <c r="A10552" s="55"/>
      <c r="B10552"/>
    </row>
    <row r="10553" spans="1:2">
      <c r="A10553" s="55"/>
      <c r="B10553"/>
    </row>
    <row r="10554" spans="1:2">
      <c r="A10554" s="55"/>
      <c r="B10554"/>
    </row>
    <row r="10555" spans="1:2">
      <c r="A10555" s="55"/>
      <c r="B10555"/>
    </row>
    <row r="10556" spans="1:2">
      <c r="A10556" s="55"/>
      <c r="B10556"/>
    </row>
    <row r="10557" spans="1:2">
      <c r="A10557" s="55"/>
      <c r="B10557"/>
    </row>
    <row r="10558" spans="1:2">
      <c r="A10558" s="55"/>
      <c r="B10558"/>
    </row>
    <row r="10559" spans="1:2">
      <c r="A10559" s="55"/>
      <c r="B10559"/>
    </row>
    <row r="10560" spans="1:2">
      <c r="A10560" s="55"/>
      <c r="B10560"/>
    </row>
    <row r="10561" spans="1:2">
      <c r="A10561" s="55"/>
      <c r="B10561"/>
    </row>
    <row r="10562" spans="1:2">
      <c r="A10562" s="55"/>
      <c r="B10562"/>
    </row>
    <row r="10563" spans="1:2">
      <c r="A10563" s="55"/>
      <c r="B10563"/>
    </row>
    <row r="10564" spans="1:2">
      <c r="A10564" s="55"/>
      <c r="B10564"/>
    </row>
    <row r="10565" spans="1:2">
      <c r="A10565" s="55"/>
      <c r="B10565"/>
    </row>
    <row r="10566" spans="1:2">
      <c r="A10566" s="55"/>
      <c r="B10566"/>
    </row>
    <row r="10567" spans="1:2">
      <c r="A10567" s="55"/>
      <c r="B10567"/>
    </row>
    <row r="10568" spans="1:2">
      <c r="A10568" s="55"/>
      <c r="B10568"/>
    </row>
    <row r="10569" spans="1:2">
      <c r="A10569" s="55"/>
      <c r="B10569"/>
    </row>
    <row r="10570" spans="1:2">
      <c r="A10570" s="55"/>
      <c r="B10570"/>
    </row>
    <row r="10571" spans="1:2">
      <c r="A10571" s="55"/>
      <c r="B10571"/>
    </row>
    <row r="10572" spans="1:2">
      <c r="A10572" s="55"/>
      <c r="B10572"/>
    </row>
    <row r="10573" spans="1:2">
      <c r="A10573" s="55"/>
      <c r="B10573"/>
    </row>
    <row r="10574" spans="1:2">
      <c r="A10574" s="55"/>
      <c r="B10574"/>
    </row>
    <row r="10575" spans="1:2">
      <c r="A10575" s="55"/>
      <c r="B10575"/>
    </row>
    <row r="10576" spans="1:2">
      <c r="A10576" s="55"/>
      <c r="B10576"/>
    </row>
    <row r="10577" spans="1:2">
      <c r="A10577" s="55"/>
      <c r="B10577"/>
    </row>
    <row r="10578" spans="1:2">
      <c r="A10578" s="55"/>
      <c r="B10578"/>
    </row>
    <row r="10579" spans="1:2">
      <c r="A10579" s="55"/>
      <c r="B10579"/>
    </row>
    <row r="10580" spans="1:2">
      <c r="A10580" s="55"/>
      <c r="B10580"/>
    </row>
    <row r="10581" spans="1:2">
      <c r="A10581" s="55"/>
      <c r="B10581"/>
    </row>
    <row r="10582" spans="1:2">
      <c r="A10582" s="55"/>
      <c r="B10582"/>
    </row>
    <row r="10583" spans="1:2">
      <c r="A10583" s="55"/>
      <c r="B10583"/>
    </row>
    <row r="10584" spans="1:2">
      <c r="A10584" s="55"/>
      <c r="B10584"/>
    </row>
    <row r="10585" spans="1:2">
      <c r="A10585" s="55"/>
      <c r="B10585"/>
    </row>
    <row r="10586" spans="1:2">
      <c r="A10586" s="55"/>
      <c r="B10586"/>
    </row>
    <row r="10587" spans="1:2">
      <c r="A10587" s="55"/>
      <c r="B10587"/>
    </row>
    <row r="10588" spans="1:2">
      <c r="A10588" s="55"/>
      <c r="B10588"/>
    </row>
    <row r="10589" spans="1:2">
      <c r="A10589" s="55"/>
      <c r="B10589"/>
    </row>
    <row r="10590" spans="1:2">
      <c r="A10590" s="55"/>
      <c r="B10590"/>
    </row>
    <row r="10591" spans="1:2">
      <c r="A10591" s="55"/>
      <c r="B10591"/>
    </row>
    <row r="10592" spans="1:2">
      <c r="A10592" s="55"/>
      <c r="B10592"/>
    </row>
    <row r="10593" spans="1:2">
      <c r="A10593" s="55"/>
      <c r="B10593"/>
    </row>
    <row r="10594" spans="1:2">
      <c r="A10594" s="55"/>
      <c r="B10594"/>
    </row>
    <row r="10595" spans="1:2">
      <c r="A10595" s="55"/>
      <c r="B10595"/>
    </row>
    <row r="10596" spans="1:2">
      <c r="A10596" s="55"/>
      <c r="B10596"/>
    </row>
    <row r="10597" spans="1:2">
      <c r="A10597" s="55"/>
      <c r="B10597"/>
    </row>
    <row r="10598" spans="1:2">
      <c r="A10598" s="55"/>
      <c r="B10598"/>
    </row>
    <row r="10599" spans="1:2">
      <c r="A10599" s="55"/>
      <c r="B10599"/>
    </row>
    <row r="10600" spans="1:2">
      <c r="A10600" s="55"/>
      <c r="B10600"/>
    </row>
    <row r="10601" spans="1:2">
      <c r="A10601" s="55"/>
      <c r="B10601"/>
    </row>
    <row r="10602" spans="1:2">
      <c r="A10602" s="55"/>
      <c r="B10602"/>
    </row>
    <row r="10603" spans="1:2">
      <c r="A10603" s="55"/>
      <c r="B10603"/>
    </row>
    <row r="10604" spans="1:2">
      <c r="A10604" s="55"/>
      <c r="B10604"/>
    </row>
    <row r="10605" spans="1:2">
      <c r="A10605" s="55"/>
      <c r="B10605"/>
    </row>
    <row r="10606" spans="1:2">
      <c r="A10606" s="55"/>
      <c r="B10606"/>
    </row>
    <row r="10607" spans="1:2">
      <c r="A10607" s="55"/>
      <c r="B10607"/>
    </row>
    <row r="10608" spans="1:2">
      <c r="A10608" s="55"/>
      <c r="B10608"/>
    </row>
    <row r="10609" spans="1:2">
      <c r="A10609" s="55"/>
      <c r="B10609"/>
    </row>
    <row r="10610" spans="1:2">
      <c r="A10610" s="55"/>
      <c r="B10610"/>
    </row>
    <row r="10611" spans="1:2">
      <c r="A10611" s="55"/>
      <c r="B10611"/>
    </row>
    <row r="10612" spans="1:2">
      <c r="A10612" s="55"/>
      <c r="B10612"/>
    </row>
    <row r="10613" spans="1:2">
      <c r="A10613" s="55"/>
      <c r="B10613"/>
    </row>
    <row r="10614" spans="1:2">
      <c r="A10614" s="55"/>
      <c r="B10614"/>
    </row>
    <row r="10615" spans="1:2">
      <c r="A10615" s="55"/>
      <c r="B10615"/>
    </row>
    <row r="10616" spans="1:2">
      <c r="A10616" s="55"/>
      <c r="B10616"/>
    </row>
    <row r="10617" spans="1:2">
      <c r="A10617" s="55"/>
      <c r="B10617"/>
    </row>
    <row r="10618" spans="1:2">
      <c r="A10618" s="55"/>
      <c r="B10618"/>
    </row>
    <row r="10619" spans="1:2">
      <c r="A10619" s="55"/>
      <c r="B10619"/>
    </row>
    <row r="10620" spans="1:2">
      <c r="A10620" s="55"/>
      <c r="B10620"/>
    </row>
    <row r="10621" spans="1:2">
      <c r="A10621" s="55"/>
      <c r="B10621"/>
    </row>
    <row r="10622" spans="1:2">
      <c r="A10622" s="55"/>
      <c r="B10622"/>
    </row>
    <row r="10623" spans="1:2">
      <c r="A10623" s="55"/>
      <c r="B10623"/>
    </row>
    <row r="10624" spans="1:2">
      <c r="A10624" s="55"/>
      <c r="B10624"/>
    </row>
    <row r="10625" spans="1:2">
      <c r="A10625" s="55"/>
      <c r="B10625"/>
    </row>
    <row r="10626" spans="1:2">
      <c r="A10626" s="55"/>
      <c r="B10626"/>
    </row>
    <row r="10627" spans="1:2">
      <c r="A10627" s="55"/>
      <c r="B10627"/>
    </row>
    <row r="10628" spans="1:2">
      <c r="A10628" s="55"/>
      <c r="B10628"/>
    </row>
    <row r="10629" spans="1:2">
      <c r="A10629" s="55"/>
      <c r="B10629"/>
    </row>
    <row r="10630" spans="1:2">
      <c r="A10630" s="55"/>
      <c r="B10630"/>
    </row>
    <row r="10631" spans="1:2">
      <c r="A10631" s="55"/>
      <c r="B10631"/>
    </row>
    <row r="10632" spans="1:2">
      <c r="A10632" s="55"/>
      <c r="B10632"/>
    </row>
    <row r="10633" spans="1:2">
      <c r="A10633" s="55"/>
      <c r="B10633"/>
    </row>
    <row r="10634" spans="1:2">
      <c r="A10634" s="55"/>
      <c r="B10634"/>
    </row>
    <row r="10635" spans="1:2">
      <c r="A10635" s="55"/>
      <c r="B10635"/>
    </row>
    <row r="10636" spans="1:2">
      <c r="A10636" s="55"/>
      <c r="B10636"/>
    </row>
    <row r="10637" spans="1:2">
      <c r="A10637" s="55"/>
      <c r="B10637"/>
    </row>
    <row r="10638" spans="1:2">
      <c r="A10638" s="55"/>
      <c r="B10638"/>
    </row>
    <row r="10639" spans="1:2">
      <c r="A10639" s="55"/>
      <c r="B10639"/>
    </row>
    <row r="10640" spans="1:2">
      <c r="A10640" s="55"/>
      <c r="B10640"/>
    </row>
    <row r="10641" spans="1:2">
      <c r="A10641" s="55"/>
      <c r="B10641"/>
    </row>
    <row r="10642" spans="1:2">
      <c r="A10642" s="55"/>
      <c r="B10642"/>
    </row>
    <row r="10643" spans="1:2">
      <c r="A10643" s="55"/>
      <c r="B10643"/>
    </row>
    <row r="10644" spans="1:2">
      <c r="A10644" s="55"/>
      <c r="B10644"/>
    </row>
    <row r="10645" spans="1:2">
      <c r="A10645" s="55"/>
      <c r="B10645"/>
    </row>
    <row r="10646" spans="1:2">
      <c r="A10646" s="55"/>
      <c r="B10646"/>
    </row>
    <row r="10647" spans="1:2">
      <c r="A10647" s="55"/>
      <c r="B10647"/>
    </row>
    <row r="10648" spans="1:2">
      <c r="A10648" s="55"/>
      <c r="B10648"/>
    </row>
    <row r="10649" spans="1:2">
      <c r="A10649" s="55"/>
      <c r="B10649"/>
    </row>
    <row r="10650" spans="1:2">
      <c r="A10650" s="55"/>
      <c r="B10650"/>
    </row>
    <row r="10651" spans="1:2">
      <c r="A10651" s="55"/>
      <c r="B10651"/>
    </row>
    <row r="10652" spans="1:2">
      <c r="A10652" s="55"/>
      <c r="B10652"/>
    </row>
    <row r="10653" spans="1:2">
      <c r="A10653" s="55"/>
      <c r="B10653"/>
    </row>
    <row r="10654" spans="1:2">
      <c r="A10654" s="55"/>
      <c r="B10654"/>
    </row>
    <row r="10655" spans="1:2">
      <c r="A10655" s="55"/>
      <c r="B10655"/>
    </row>
    <row r="10656" spans="1:2">
      <c r="A10656" s="55"/>
      <c r="B10656"/>
    </row>
    <row r="10657" spans="1:2">
      <c r="A10657" s="55"/>
      <c r="B10657"/>
    </row>
    <row r="10658" spans="1:2">
      <c r="A10658" s="55"/>
      <c r="B10658"/>
    </row>
    <row r="10659" spans="1:2">
      <c r="A10659" s="55"/>
      <c r="B10659"/>
    </row>
    <row r="10660" spans="1:2">
      <c r="A10660" s="55"/>
      <c r="B10660"/>
    </row>
    <row r="10661" spans="1:2">
      <c r="A10661" s="55"/>
      <c r="B10661"/>
    </row>
    <row r="10662" spans="1:2">
      <c r="A10662" s="55"/>
      <c r="B10662"/>
    </row>
    <row r="10663" spans="1:2">
      <c r="A10663" s="55"/>
      <c r="B10663"/>
    </row>
    <row r="10664" spans="1:2">
      <c r="A10664" s="55"/>
      <c r="B10664"/>
    </row>
    <row r="10665" spans="1:2">
      <c r="A10665" s="55"/>
      <c r="B10665"/>
    </row>
    <row r="10666" spans="1:2">
      <c r="A10666" s="55"/>
      <c r="B10666"/>
    </row>
    <row r="10667" spans="1:2">
      <c r="A10667" s="55"/>
      <c r="B10667"/>
    </row>
    <row r="10668" spans="1:2">
      <c r="A10668" s="55"/>
      <c r="B10668"/>
    </row>
    <row r="10669" spans="1:2">
      <c r="A10669" s="55"/>
      <c r="B10669"/>
    </row>
    <row r="10670" spans="1:2">
      <c r="A10670" s="55"/>
      <c r="B10670"/>
    </row>
    <row r="10671" spans="1:2">
      <c r="A10671" s="55"/>
      <c r="B10671"/>
    </row>
    <row r="10672" spans="1:2">
      <c r="A10672" s="55"/>
      <c r="B10672"/>
    </row>
    <row r="10673" spans="1:2">
      <c r="A10673" s="55"/>
      <c r="B10673"/>
    </row>
    <row r="10674" spans="1:2">
      <c r="A10674" s="55"/>
      <c r="B10674"/>
    </row>
    <row r="10675" spans="1:2">
      <c r="A10675" s="55"/>
      <c r="B10675"/>
    </row>
    <row r="10676" spans="1:2">
      <c r="A10676" s="55"/>
      <c r="B10676"/>
    </row>
    <row r="10677" spans="1:2">
      <c r="A10677" s="55"/>
      <c r="B10677"/>
    </row>
    <row r="10678" spans="1:2">
      <c r="A10678" s="55"/>
      <c r="B10678"/>
    </row>
    <row r="10679" spans="1:2">
      <c r="A10679" s="55"/>
      <c r="B10679"/>
    </row>
    <row r="10680" spans="1:2">
      <c r="A10680" s="55"/>
      <c r="B10680"/>
    </row>
    <row r="10681" spans="1:2">
      <c r="A10681" s="55"/>
      <c r="B10681"/>
    </row>
    <row r="10682" spans="1:2">
      <c r="A10682" s="55"/>
      <c r="B10682"/>
    </row>
    <row r="10683" spans="1:2">
      <c r="A10683" s="55"/>
      <c r="B10683"/>
    </row>
    <row r="10684" spans="1:2">
      <c r="A10684" s="55"/>
      <c r="B10684"/>
    </row>
    <row r="10685" spans="1:2">
      <c r="A10685" s="55"/>
      <c r="B10685"/>
    </row>
    <row r="10686" spans="1:2">
      <c r="A10686" s="55"/>
      <c r="B10686"/>
    </row>
    <row r="10687" spans="1:2">
      <c r="A10687" s="55"/>
      <c r="B10687"/>
    </row>
    <row r="10688" spans="1:2">
      <c r="A10688" s="55"/>
      <c r="B10688"/>
    </row>
    <row r="10689" spans="1:2">
      <c r="A10689" s="55"/>
      <c r="B10689"/>
    </row>
    <row r="10690" spans="1:2">
      <c r="A10690" s="55"/>
      <c r="B10690"/>
    </row>
    <row r="10691" spans="1:2">
      <c r="A10691" s="55"/>
      <c r="B10691"/>
    </row>
    <row r="10692" spans="1:2">
      <c r="A10692" s="55"/>
      <c r="B10692"/>
    </row>
    <row r="10693" spans="1:2">
      <c r="A10693" s="55"/>
      <c r="B10693"/>
    </row>
    <row r="10694" spans="1:2">
      <c r="A10694" s="55"/>
      <c r="B10694"/>
    </row>
    <row r="10695" spans="1:2">
      <c r="A10695" s="55"/>
      <c r="B10695"/>
    </row>
    <row r="10696" spans="1:2">
      <c r="A10696" s="55"/>
      <c r="B10696"/>
    </row>
    <row r="10697" spans="1:2">
      <c r="A10697" s="55"/>
      <c r="B10697"/>
    </row>
    <row r="10698" spans="1:2">
      <c r="A10698" s="55"/>
      <c r="B10698"/>
    </row>
    <row r="10699" spans="1:2">
      <c r="A10699" s="55"/>
      <c r="B10699"/>
    </row>
    <row r="10700" spans="1:2">
      <c r="A10700" s="55"/>
      <c r="B10700"/>
    </row>
    <row r="10701" spans="1:2">
      <c r="A10701" s="55"/>
      <c r="B10701"/>
    </row>
    <row r="10702" spans="1:2">
      <c r="A10702" s="55"/>
      <c r="B10702"/>
    </row>
    <row r="10703" spans="1:2">
      <c r="A10703" s="55"/>
      <c r="B10703"/>
    </row>
    <row r="10704" spans="1:2">
      <c r="A10704" s="55"/>
      <c r="B10704"/>
    </row>
    <row r="10705" spans="1:2">
      <c r="A10705" s="55"/>
      <c r="B10705"/>
    </row>
    <row r="10706" spans="1:2">
      <c r="A10706" s="55"/>
      <c r="B10706"/>
    </row>
    <row r="10707" spans="1:2">
      <c r="A10707" s="55"/>
      <c r="B10707"/>
    </row>
    <row r="10708" spans="1:2">
      <c r="A10708" s="55"/>
      <c r="B10708"/>
    </row>
    <row r="10709" spans="1:2">
      <c r="A10709" s="55"/>
      <c r="B10709"/>
    </row>
    <row r="10710" spans="1:2">
      <c r="A10710" s="55"/>
      <c r="B10710"/>
    </row>
    <row r="10711" spans="1:2">
      <c r="A10711" s="55"/>
      <c r="B10711"/>
    </row>
    <row r="10712" spans="1:2">
      <c r="A10712" s="55"/>
      <c r="B10712"/>
    </row>
    <row r="10713" spans="1:2">
      <c r="A10713" s="55"/>
      <c r="B10713"/>
    </row>
    <row r="10714" spans="1:2">
      <c r="A10714" s="55"/>
      <c r="B10714"/>
    </row>
    <row r="10715" spans="1:2">
      <c r="A10715" s="55"/>
      <c r="B10715"/>
    </row>
    <row r="10716" spans="1:2">
      <c r="A10716" s="55"/>
      <c r="B10716"/>
    </row>
    <row r="10717" spans="1:2">
      <c r="A10717" s="55"/>
      <c r="B10717"/>
    </row>
    <row r="10718" spans="1:2">
      <c r="A10718" s="55"/>
      <c r="B10718"/>
    </row>
    <row r="10719" spans="1:2">
      <c r="A10719" s="55"/>
      <c r="B10719"/>
    </row>
    <row r="10720" spans="1:2">
      <c r="A10720" s="55"/>
      <c r="B10720"/>
    </row>
    <row r="10721" spans="1:2">
      <c r="A10721" s="55"/>
      <c r="B10721"/>
    </row>
    <row r="10722" spans="1:2">
      <c r="A10722" s="55"/>
      <c r="B10722"/>
    </row>
    <row r="10723" spans="1:2">
      <c r="A10723" s="55"/>
      <c r="B10723"/>
    </row>
    <row r="10724" spans="1:2">
      <c r="A10724" s="55"/>
      <c r="B10724"/>
    </row>
    <row r="10725" spans="1:2">
      <c r="A10725" s="55"/>
      <c r="B10725"/>
    </row>
    <row r="10726" spans="1:2">
      <c r="A10726" s="55"/>
      <c r="B10726"/>
    </row>
    <row r="10727" spans="1:2">
      <c r="A10727" s="55"/>
      <c r="B10727"/>
    </row>
    <row r="10728" spans="1:2">
      <c r="A10728" s="55"/>
      <c r="B10728"/>
    </row>
    <row r="10729" spans="1:2">
      <c r="A10729" s="55"/>
      <c r="B10729"/>
    </row>
    <row r="10730" spans="1:2">
      <c r="A10730" s="55"/>
      <c r="B10730"/>
    </row>
    <row r="10731" spans="1:2">
      <c r="A10731" s="55"/>
      <c r="B10731"/>
    </row>
    <row r="10732" spans="1:2">
      <c r="A10732" s="55"/>
      <c r="B10732"/>
    </row>
    <row r="10733" spans="1:2">
      <c r="A10733" s="55"/>
      <c r="B10733"/>
    </row>
    <row r="10734" spans="1:2">
      <c r="A10734" s="55"/>
      <c r="B10734"/>
    </row>
    <row r="10735" spans="1:2">
      <c r="A10735" s="55"/>
      <c r="B10735"/>
    </row>
    <row r="10736" spans="1:2">
      <c r="A10736" s="55"/>
      <c r="B10736"/>
    </row>
    <row r="10737" spans="1:2">
      <c r="A10737" s="55"/>
      <c r="B10737"/>
    </row>
    <row r="10738" spans="1:2">
      <c r="A10738" s="55"/>
      <c r="B10738"/>
    </row>
    <row r="10739" spans="1:2">
      <c r="A10739" s="55"/>
      <c r="B10739"/>
    </row>
    <row r="10740" spans="1:2">
      <c r="A10740" s="55"/>
      <c r="B10740"/>
    </row>
    <row r="10741" spans="1:2">
      <c r="A10741" s="55"/>
      <c r="B10741"/>
    </row>
    <row r="10742" spans="1:2">
      <c r="A10742" s="55"/>
      <c r="B10742"/>
    </row>
    <row r="10743" spans="1:2">
      <c r="A10743" s="55"/>
      <c r="B10743"/>
    </row>
    <row r="10744" spans="1:2">
      <c r="A10744" s="55"/>
      <c r="B10744"/>
    </row>
    <row r="10745" spans="1:2">
      <c r="A10745" s="55"/>
      <c r="B10745"/>
    </row>
    <row r="10746" spans="1:2">
      <c r="A10746" s="55"/>
      <c r="B10746"/>
    </row>
    <row r="10747" spans="1:2">
      <c r="A10747" s="55"/>
      <c r="B10747"/>
    </row>
    <row r="10748" spans="1:2">
      <c r="A10748" s="55"/>
      <c r="B10748"/>
    </row>
    <row r="10749" spans="1:2">
      <c r="A10749" s="55"/>
      <c r="B10749"/>
    </row>
    <row r="10750" spans="1:2">
      <c r="A10750" s="55"/>
      <c r="B10750"/>
    </row>
    <row r="10751" spans="1:2">
      <c r="A10751" s="55"/>
      <c r="B10751"/>
    </row>
    <row r="10752" spans="1:2">
      <c r="A10752" s="55"/>
      <c r="B10752"/>
    </row>
    <row r="10753" spans="1:2">
      <c r="A10753" s="55"/>
      <c r="B10753"/>
    </row>
    <row r="10754" spans="1:2">
      <c r="A10754" s="55"/>
      <c r="B10754"/>
    </row>
    <row r="10755" spans="1:2">
      <c r="A10755" s="55"/>
      <c r="B10755"/>
    </row>
    <row r="10756" spans="1:2">
      <c r="A10756" s="55"/>
      <c r="B10756"/>
    </row>
    <row r="10757" spans="1:2">
      <c r="A10757" s="55"/>
      <c r="B10757"/>
    </row>
    <row r="10758" spans="1:2">
      <c r="A10758" s="55"/>
      <c r="B10758"/>
    </row>
    <row r="10759" spans="1:2">
      <c r="A10759" s="55"/>
      <c r="B10759"/>
    </row>
    <row r="10760" spans="1:2">
      <c r="A10760" s="55"/>
      <c r="B10760"/>
    </row>
    <row r="10761" spans="1:2">
      <c r="A10761" s="55"/>
      <c r="B10761"/>
    </row>
    <row r="10762" spans="1:2">
      <c r="A10762" s="55"/>
      <c r="B10762"/>
    </row>
    <row r="10763" spans="1:2">
      <c r="A10763" s="55"/>
      <c r="B10763"/>
    </row>
    <row r="10764" spans="1:2">
      <c r="A10764" s="55"/>
      <c r="B10764"/>
    </row>
    <row r="10765" spans="1:2">
      <c r="A10765" s="55"/>
      <c r="B10765"/>
    </row>
    <row r="10766" spans="1:2">
      <c r="A10766" s="55"/>
      <c r="B10766"/>
    </row>
    <row r="10767" spans="1:2">
      <c r="A10767" s="55"/>
      <c r="B10767"/>
    </row>
    <row r="10768" spans="1:2">
      <c r="A10768" s="55"/>
      <c r="B10768"/>
    </row>
    <row r="10769" spans="1:2">
      <c r="A10769" s="55"/>
      <c r="B10769"/>
    </row>
    <row r="10770" spans="1:2">
      <c r="A10770" s="55"/>
      <c r="B10770"/>
    </row>
    <row r="10771" spans="1:2">
      <c r="A10771" s="55"/>
      <c r="B10771"/>
    </row>
    <row r="10772" spans="1:2">
      <c r="A10772" s="55"/>
      <c r="B10772"/>
    </row>
    <row r="10773" spans="1:2">
      <c r="A10773" s="55"/>
      <c r="B10773"/>
    </row>
    <row r="10774" spans="1:2">
      <c r="A10774" s="55"/>
      <c r="B10774"/>
    </row>
    <row r="10775" spans="1:2">
      <c r="A10775" s="55"/>
      <c r="B10775"/>
    </row>
    <row r="10776" spans="1:2">
      <c r="A10776" s="55"/>
      <c r="B10776"/>
    </row>
    <row r="10777" spans="1:2">
      <c r="A10777" s="55"/>
      <c r="B10777"/>
    </row>
    <row r="10778" spans="1:2">
      <c r="A10778" s="55"/>
      <c r="B10778"/>
    </row>
    <row r="10779" spans="1:2">
      <c r="A10779" s="55"/>
      <c r="B10779"/>
    </row>
    <row r="10780" spans="1:2">
      <c r="A10780" s="55"/>
      <c r="B10780"/>
    </row>
    <row r="10781" spans="1:2">
      <c r="A10781" s="55"/>
      <c r="B10781"/>
    </row>
    <row r="10782" spans="1:2">
      <c r="A10782" s="55"/>
      <c r="B10782"/>
    </row>
    <row r="10783" spans="1:2">
      <c r="A10783" s="55"/>
      <c r="B10783"/>
    </row>
    <row r="10784" spans="1:2">
      <c r="A10784" s="55"/>
      <c r="B10784"/>
    </row>
    <row r="10785" spans="1:2">
      <c r="A10785" s="55"/>
      <c r="B10785"/>
    </row>
    <row r="10786" spans="1:2">
      <c r="A10786" s="55"/>
      <c r="B10786"/>
    </row>
    <row r="10787" spans="1:2">
      <c r="A10787" s="55"/>
      <c r="B10787"/>
    </row>
    <row r="10788" spans="1:2">
      <c r="A10788" s="55"/>
      <c r="B10788"/>
    </row>
    <row r="10789" spans="1:2">
      <c r="A10789" s="55"/>
      <c r="B10789"/>
    </row>
    <row r="10790" spans="1:2">
      <c r="A10790" s="55"/>
      <c r="B10790"/>
    </row>
    <row r="10791" spans="1:2">
      <c r="A10791" s="55"/>
      <c r="B10791"/>
    </row>
    <row r="10792" spans="1:2">
      <c r="A10792" s="55"/>
      <c r="B10792"/>
    </row>
    <row r="10793" spans="1:2">
      <c r="A10793" s="55"/>
      <c r="B10793"/>
    </row>
    <row r="10794" spans="1:2">
      <c r="A10794" s="55"/>
      <c r="B10794"/>
    </row>
    <row r="10795" spans="1:2">
      <c r="A10795" s="55"/>
      <c r="B10795"/>
    </row>
    <row r="10796" spans="1:2">
      <c r="A10796" s="55"/>
      <c r="B10796"/>
    </row>
    <row r="10797" spans="1:2">
      <c r="A10797" s="55"/>
      <c r="B10797"/>
    </row>
    <row r="10798" spans="1:2">
      <c r="A10798" s="55"/>
      <c r="B10798"/>
    </row>
    <row r="10799" spans="1:2">
      <c r="A10799" s="55"/>
      <c r="B10799"/>
    </row>
    <row r="10800" spans="1:2">
      <c r="A10800" s="55"/>
      <c r="B10800"/>
    </row>
    <row r="10801" spans="1:2">
      <c r="A10801" s="55"/>
      <c r="B10801"/>
    </row>
    <row r="10802" spans="1:2">
      <c r="A10802" s="55"/>
      <c r="B10802"/>
    </row>
    <row r="10803" spans="1:2">
      <c r="A10803" s="55"/>
      <c r="B10803"/>
    </row>
    <row r="10804" spans="1:2">
      <c r="A10804" s="55"/>
      <c r="B10804"/>
    </row>
    <row r="10805" spans="1:2">
      <c r="A10805" s="55"/>
      <c r="B10805"/>
    </row>
    <row r="10806" spans="1:2">
      <c r="A10806" s="55"/>
      <c r="B10806"/>
    </row>
    <row r="10807" spans="1:2">
      <c r="A10807" s="55"/>
      <c r="B10807"/>
    </row>
    <row r="10808" spans="1:2">
      <c r="A10808" s="55"/>
      <c r="B10808"/>
    </row>
    <row r="10809" spans="1:2">
      <c r="A10809" s="55"/>
      <c r="B10809"/>
    </row>
    <row r="10810" spans="1:2">
      <c r="A10810" s="55"/>
      <c r="B10810"/>
    </row>
    <row r="10811" spans="1:2">
      <c r="A10811" s="55"/>
      <c r="B10811"/>
    </row>
    <row r="10812" spans="1:2">
      <c r="A10812" s="55"/>
      <c r="B10812"/>
    </row>
    <row r="10813" spans="1:2">
      <c r="A10813" s="55"/>
      <c r="B10813"/>
    </row>
    <row r="10814" spans="1:2">
      <c r="A10814" s="55"/>
      <c r="B10814"/>
    </row>
    <row r="10815" spans="1:2">
      <c r="A10815" s="55"/>
      <c r="B10815"/>
    </row>
    <row r="10816" spans="1:2">
      <c r="A10816" s="55"/>
      <c r="B10816"/>
    </row>
    <row r="10817" spans="1:2">
      <c r="A10817" s="55"/>
      <c r="B10817"/>
    </row>
    <row r="10818" spans="1:2">
      <c r="A10818" s="55"/>
      <c r="B10818"/>
    </row>
    <row r="10819" spans="1:2">
      <c r="A10819" s="55"/>
      <c r="B10819"/>
    </row>
    <row r="10820" spans="1:2">
      <c r="A10820" s="55"/>
      <c r="B10820"/>
    </row>
    <row r="10821" spans="1:2">
      <c r="A10821" s="55"/>
      <c r="B10821"/>
    </row>
    <row r="10822" spans="1:2">
      <c r="A10822" s="55"/>
      <c r="B10822"/>
    </row>
    <row r="10823" spans="1:2">
      <c r="A10823" s="55"/>
      <c r="B10823"/>
    </row>
    <row r="10824" spans="1:2">
      <c r="A10824" s="55"/>
      <c r="B10824"/>
    </row>
    <row r="10825" spans="1:2">
      <c r="A10825" s="55"/>
      <c r="B10825"/>
    </row>
    <row r="10826" spans="1:2">
      <c r="A10826" s="55"/>
      <c r="B10826"/>
    </row>
    <row r="10827" spans="1:2">
      <c r="A10827" s="55"/>
      <c r="B10827"/>
    </row>
    <row r="10828" spans="1:2">
      <c r="A10828" s="55"/>
      <c r="B10828"/>
    </row>
    <row r="10829" spans="1:2">
      <c r="A10829" s="55"/>
      <c r="B10829"/>
    </row>
    <row r="10830" spans="1:2">
      <c r="A10830" s="55"/>
      <c r="B10830"/>
    </row>
    <row r="10831" spans="1:2">
      <c r="A10831" s="55"/>
      <c r="B10831"/>
    </row>
    <row r="10832" spans="1:2">
      <c r="A10832" s="55"/>
      <c r="B10832"/>
    </row>
    <row r="10833" spans="1:2">
      <c r="A10833" s="55"/>
      <c r="B10833"/>
    </row>
    <row r="10834" spans="1:2">
      <c r="A10834" s="55"/>
      <c r="B10834"/>
    </row>
    <row r="10835" spans="1:2">
      <c r="A10835" s="55"/>
      <c r="B10835"/>
    </row>
    <row r="10836" spans="1:2">
      <c r="A10836" s="55"/>
      <c r="B10836"/>
    </row>
    <row r="10837" spans="1:2">
      <c r="A10837" s="55"/>
      <c r="B10837"/>
    </row>
    <row r="10838" spans="1:2">
      <c r="A10838" s="55"/>
      <c r="B10838"/>
    </row>
    <row r="10839" spans="1:2">
      <c r="A10839" s="55"/>
      <c r="B10839"/>
    </row>
    <row r="10840" spans="1:2">
      <c r="A10840" s="55"/>
      <c r="B10840"/>
    </row>
    <row r="10841" spans="1:2">
      <c r="A10841" s="55"/>
      <c r="B10841"/>
    </row>
    <row r="10842" spans="1:2">
      <c r="A10842" s="55"/>
      <c r="B10842"/>
    </row>
    <row r="10843" spans="1:2">
      <c r="A10843" s="55"/>
      <c r="B10843"/>
    </row>
    <row r="10844" spans="1:2">
      <c r="A10844" s="55"/>
      <c r="B10844"/>
    </row>
    <row r="10845" spans="1:2">
      <c r="A10845" s="55"/>
      <c r="B10845"/>
    </row>
    <row r="10846" spans="1:2">
      <c r="A10846" s="55"/>
      <c r="B10846"/>
    </row>
    <row r="10847" spans="1:2">
      <c r="A10847" s="55"/>
      <c r="B10847"/>
    </row>
    <row r="10848" spans="1:2">
      <c r="A10848" s="55"/>
      <c r="B10848"/>
    </row>
    <row r="10849" spans="1:2">
      <c r="A10849" s="55"/>
      <c r="B10849"/>
    </row>
    <row r="10850" spans="1:2">
      <c r="A10850" s="55"/>
      <c r="B10850"/>
    </row>
    <row r="10851" spans="1:2">
      <c r="A10851" s="55"/>
      <c r="B10851"/>
    </row>
    <row r="10852" spans="1:2">
      <c r="A10852" s="55"/>
      <c r="B10852"/>
    </row>
    <row r="10853" spans="1:2">
      <c r="A10853" s="55"/>
      <c r="B10853"/>
    </row>
    <row r="10854" spans="1:2">
      <c r="A10854" s="55"/>
      <c r="B10854"/>
    </row>
    <row r="10855" spans="1:2">
      <c r="A10855" s="55"/>
      <c r="B10855"/>
    </row>
    <row r="10856" spans="1:2">
      <c r="A10856" s="55"/>
      <c r="B10856"/>
    </row>
    <row r="10857" spans="1:2">
      <c r="A10857" s="55"/>
      <c r="B10857"/>
    </row>
    <row r="10858" spans="1:2">
      <c r="A10858" s="55"/>
      <c r="B10858"/>
    </row>
    <row r="10859" spans="1:2">
      <c r="A10859" s="55"/>
      <c r="B10859"/>
    </row>
    <row r="10860" spans="1:2">
      <c r="A10860" s="55"/>
      <c r="B10860"/>
    </row>
    <row r="10861" spans="1:2">
      <c r="A10861" s="55"/>
      <c r="B10861"/>
    </row>
    <row r="10862" spans="1:2">
      <c r="A10862" s="55"/>
      <c r="B10862"/>
    </row>
    <row r="10863" spans="1:2">
      <c r="A10863" s="55"/>
      <c r="B10863"/>
    </row>
    <row r="10864" spans="1:2">
      <c r="A10864" s="55"/>
      <c r="B10864"/>
    </row>
    <row r="10865" spans="1:2">
      <c r="A10865" s="55"/>
      <c r="B10865"/>
    </row>
    <row r="10866" spans="1:2">
      <c r="A10866" s="55"/>
      <c r="B10866"/>
    </row>
    <row r="10867" spans="1:2">
      <c r="A10867" s="55"/>
      <c r="B10867"/>
    </row>
    <row r="10868" spans="1:2">
      <c r="A10868" s="55"/>
      <c r="B10868"/>
    </row>
    <row r="10869" spans="1:2">
      <c r="A10869" s="55"/>
      <c r="B10869"/>
    </row>
    <row r="10870" spans="1:2">
      <c r="A10870" s="55"/>
      <c r="B10870"/>
    </row>
    <row r="10871" spans="1:2">
      <c r="A10871" s="55"/>
      <c r="B10871"/>
    </row>
    <row r="10872" spans="1:2">
      <c r="A10872" s="55"/>
      <c r="B10872"/>
    </row>
    <row r="10873" spans="1:2">
      <c r="A10873" s="55"/>
      <c r="B10873"/>
    </row>
    <row r="10874" spans="1:2">
      <c r="A10874" s="55"/>
      <c r="B10874"/>
    </row>
    <row r="10875" spans="1:2">
      <c r="A10875" s="55"/>
      <c r="B10875"/>
    </row>
    <row r="10876" spans="1:2">
      <c r="A10876" s="55"/>
      <c r="B10876"/>
    </row>
    <row r="10877" spans="1:2">
      <c r="A10877" s="55"/>
      <c r="B10877"/>
    </row>
    <row r="10878" spans="1:2">
      <c r="A10878" s="55"/>
      <c r="B10878"/>
    </row>
    <row r="10879" spans="1:2">
      <c r="A10879" s="55"/>
      <c r="B10879"/>
    </row>
    <row r="10880" spans="1:2">
      <c r="A10880" s="55"/>
      <c r="B10880"/>
    </row>
    <row r="10881" spans="1:2">
      <c r="A10881" s="55"/>
      <c r="B10881"/>
    </row>
    <row r="10882" spans="1:2">
      <c r="A10882" s="55"/>
      <c r="B10882"/>
    </row>
    <row r="10883" spans="1:2">
      <c r="A10883" s="55"/>
      <c r="B10883"/>
    </row>
    <row r="10884" spans="1:2">
      <c r="A10884" s="55"/>
      <c r="B10884"/>
    </row>
    <row r="10885" spans="1:2">
      <c r="A10885" s="55"/>
      <c r="B10885"/>
    </row>
    <row r="10886" spans="1:2">
      <c r="A10886" s="55"/>
      <c r="B10886"/>
    </row>
    <row r="10887" spans="1:2">
      <c r="A10887" s="55"/>
      <c r="B10887"/>
    </row>
    <row r="10888" spans="1:2">
      <c r="A10888" s="55"/>
      <c r="B10888"/>
    </row>
    <row r="10889" spans="1:2">
      <c r="A10889" s="55"/>
      <c r="B10889"/>
    </row>
    <row r="10890" spans="1:2">
      <c r="A10890" s="55"/>
      <c r="B10890"/>
    </row>
    <row r="10891" spans="1:2">
      <c r="A10891" s="55"/>
      <c r="B10891"/>
    </row>
    <row r="10892" spans="1:2">
      <c r="A10892" s="55"/>
      <c r="B10892"/>
    </row>
    <row r="10893" spans="1:2">
      <c r="A10893" s="55"/>
      <c r="B10893"/>
    </row>
    <row r="10894" spans="1:2">
      <c r="A10894" s="55"/>
      <c r="B10894"/>
    </row>
    <row r="10895" spans="1:2">
      <c r="A10895" s="55"/>
      <c r="B10895"/>
    </row>
    <row r="10896" spans="1:2">
      <c r="A10896" s="55"/>
      <c r="B10896"/>
    </row>
    <row r="10897" spans="1:2">
      <c r="A10897" s="55"/>
      <c r="B10897"/>
    </row>
    <row r="10898" spans="1:2">
      <c r="A10898" s="55"/>
      <c r="B10898"/>
    </row>
    <row r="10899" spans="1:2">
      <c r="A10899" s="55"/>
      <c r="B10899"/>
    </row>
    <row r="10900" spans="1:2">
      <c r="A10900" s="55"/>
      <c r="B10900"/>
    </row>
    <row r="10901" spans="1:2">
      <c r="A10901" s="55"/>
      <c r="B10901"/>
    </row>
    <row r="10902" spans="1:2">
      <c r="A10902" s="55"/>
      <c r="B10902"/>
    </row>
    <row r="10903" spans="1:2">
      <c r="A10903" s="55"/>
      <c r="B10903"/>
    </row>
    <row r="10904" spans="1:2">
      <c r="A10904" s="55"/>
      <c r="B10904"/>
    </row>
    <row r="10905" spans="1:2">
      <c r="A10905" s="55"/>
      <c r="B10905"/>
    </row>
    <row r="10906" spans="1:2">
      <c r="A10906" s="55"/>
      <c r="B10906"/>
    </row>
    <row r="10907" spans="1:2">
      <c r="A10907" s="55"/>
      <c r="B10907"/>
    </row>
    <row r="10908" spans="1:2">
      <c r="A10908" s="55"/>
      <c r="B10908"/>
    </row>
    <row r="10909" spans="1:2">
      <c r="A10909" s="55"/>
      <c r="B10909"/>
    </row>
    <row r="10910" spans="1:2">
      <c r="A10910" s="55"/>
      <c r="B10910"/>
    </row>
    <row r="10911" spans="1:2">
      <c r="A10911" s="55"/>
      <c r="B10911"/>
    </row>
    <row r="10912" spans="1:2">
      <c r="A10912" s="55"/>
      <c r="B10912"/>
    </row>
    <row r="10913" spans="1:2">
      <c r="A10913" s="55"/>
      <c r="B10913"/>
    </row>
    <row r="10914" spans="1:2">
      <c r="A10914" s="55"/>
      <c r="B10914"/>
    </row>
    <row r="10915" spans="1:2">
      <c r="A10915" s="55"/>
      <c r="B10915"/>
    </row>
    <row r="10916" spans="1:2">
      <c r="A10916" s="55"/>
      <c r="B10916"/>
    </row>
    <row r="10917" spans="1:2">
      <c r="A10917" s="55"/>
      <c r="B10917"/>
    </row>
    <row r="10918" spans="1:2">
      <c r="A10918" s="55"/>
      <c r="B10918"/>
    </row>
    <row r="10919" spans="1:2">
      <c r="A10919" s="55"/>
      <c r="B10919"/>
    </row>
    <row r="10920" spans="1:2">
      <c r="A10920" s="55"/>
      <c r="B10920"/>
    </row>
    <row r="10921" spans="1:2">
      <c r="A10921" s="55"/>
      <c r="B10921"/>
    </row>
    <row r="10922" spans="1:2">
      <c r="A10922" s="55"/>
      <c r="B10922"/>
    </row>
    <row r="10923" spans="1:2">
      <c r="A10923" s="55"/>
      <c r="B10923"/>
    </row>
    <row r="10924" spans="1:2">
      <c r="A10924" s="55"/>
      <c r="B10924"/>
    </row>
    <row r="10925" spans="1:2">
      <c r="A10925" s="55"/>
      <c r="B10925"/>
    </row>
    <row r="10926" spans="1:2">
      <c r="A10926" s="55"/>
      <c r="B10926"/>
    </row>
    <row r="10927" spans="1:2">
      <c r="A10927" s="55"/>
      <c r="B10927"/>
    </row>
    <row r="10928" spans="1:2">
      <c r="A10928" s="55"/>
      <c r="B10928"/>
    </row>
    <row r="10929" spans="1:2">
      <c r="A10929" s="55"/>
      <c r="B10929"/>
    </row>
    <row r="10930" spans="1:2">
      <c r="A10930" s="55"/>
      <c r="B10930"/>
    </row>
    <row r="10931" spans="1:2">
      <c r="A10931" s="55"/>
      <c r="B10931"/>
    </row>
    <row r="10932" spans="1:2">
      <c r="A10932" s="55"/>
      <c r="B10932"/>
    </row>
    <row r="10933" spans="1:2">
      <c r="A10933" s="55"/>
      <c r="B10933"/>
    </row>
    <row r="10934" spans="1:2">
      <c r="A10934" s="55"/>
      <c r="B10934"/>
    </row>
    <row r="10935" spans="1:2">
      <c r="A10935" s="55"/>
      <c r="B10935"/>
    </row>
    <row r="10936" spans="1:2">
      <c r="A10936" s="55"/>
      <c r="B10936"/>
    </row>
    <row r="10937" spans="1:2">
      <c r="A10937" s="55"/>
      <c r="B10937"/>
    </row>
    <row r="10938" spans="1:2">
      <c r="A10938" s="55"/>
      <c r="B10938"/>
    </row>
    <row r="10939" spans="1:2">
      <c r="A10939" s="55"/>
      <c r="B10939"/>
    </row>
    <row r="10940" spans="1:2">
      <c r="A10940" s="55"/>
      <c r="B10940"/>
    </row>
    <row r="10941" spans="1:2">
      <c r="A10941" s="55"/>
      <c r="B10941"/>
    </row>
    <row r="10942" spans="1:2">
      <c r="A10942" s="55"/>
      <c r="B10942"/>
    </row>
    <row r="10943" spans="1:2">
      <c r="A10943" s="55"/>
      <c r="B10943"/>
    </row>
    <row r="10944" spans="1:2">
      <c r="A10944" s="55"/>
      <c r="B10944"/>
    </row>
    <row r="10945" spans="1:2">
      <c r="A10945" s="55"/>
      <c r="B10945"/>
    </row>
    <row r="10946" spans="1:2">
      <c r="A10946" s="55"/>
      <c r="B10946"/>
    </row>
    <row r="10947" spans="1:2">
      <c r="A10947" s="55"/>
      <c r="B10947"/>
    </row>
    <row r="10948" spans="1:2">
      <c r="A10948" s="55"/>
      <c r="B10948"/>
    </row>
    <row r="10949" spans="1:2">
      <c r="A10949" s="55"/>
      <c r="B10949"/>
    </row>
    <row r="10950" spans="1:2">
      <c r="A10950" s="55"/>
      <c r="B10950"/>
    </row>
    <row r="10951" spans="1:2">
      <c r="A10951" s="55"/>
      <c r="B10951"/>
    </row>
    <row r="10952" spans="1:2">
      <c r="A10952" s="55"/>
      <c r="B10952"/>
    </row>
    <row r="10953" spans="1:2">
      <c r="A10953" s="55"/>
      <c r="B10953"/>
    </row>
    <row r="10954" spans="1:2">
      <c r="A10954" s="55"/>
      <c r="B10954"/>
    </row>
    <row r="10955" spans="1:2">
      <c r="A10955" s="55"/>
      <c r="B10955"/>
    </row>
    <row r="10956" spans="1:2">
      <c r="A10956" s="55"/>
      <c r="B10956"/>
    </row>
    <row r="10957" spans="1:2">
      <c r="A10957" s="55"/>
      <c r="B10957"/>
    </row>
    <row r="10958" spans="1:2">
      <c r="A10958" s="55"/>
      <c r="B10958"/>
    </row>
    <row r="10959" spans="1:2">
      <c r="A10959" s="55"/>
      <c r="B10959"/>
    </row>
    <row r="10960" spans="1:2">
      <c r="A10960" s="55"/>
      <c r="B10960"/>
    </row>
    <row r="10961" spans="1:2">
      <c r="A10961" s="55"/>
      <c r="B10961"/>
    </row>
    <row r="10962" spans="1:2">
      <c r="A10962" s="55"/>
      <c r="B10962"/>
    </row>
    <row r="10963" spans="1:2">
      <c r="A10963" s="55"/>
      <c r="B10963"/>
    </row>
    <row r="10964" spans="1:2">
      <c r="A10964" s="55"/>
      <c r="B10964"/>
    </row>
    <row r="10965" spans="1:2">
      <c r="A10965" s="55"/>
      <c r="B10965"/>
    </row>
    <row r="10966" spans="1:2">
      <c r="A10966" s="55"/>
      <c r="B10966"/>
    </row>
    <row r="10967" spans="1:2">
      <c r="A10967" s="55"/>
      <c r="B10967"/>
    </row>
    <row r="10968" spans="1:2">
      <c r="A10968" s="55"/>
      <c r="B10968"/>
    </row>
    <row r="10969" spans="1:2">
      <c r="A10969" s="55"/>
      <c r="B10969"/>
    </row>
    <row r="10970" spans="1:2">
      <c r="A10970" s="55"/>
      <c r="B10970"/>
    </row>
    <row r="10971" spans="1:2">
      <c r="A10971" s="55"/>
      <c r="B10971"/>
    </row>
    <row r="10972" spans="1:2">
      <c r="A10972" s="55"/>
      <c r="B10972"/>
    </row>
    <row r="10973" spans="1:2">
      <c r="A10973" s="55"/>
      <c r="B10973"/>
    </row>
    <row r="10974" spans="1:2">
      <c r="A10974" s="55"/>
      <c r="B10974"/>
    </row>
    <row r="10975" spans="1:2">
      <c r="A10975" s="55"/>
      <c r="B10975"/>
    </row>
    <row r="10976" spans="1:2">
      <c r="A10976" s="55"/>
      <c r="B10976"/>
    </row>
    <row r="10977" spans="1:2">
      <c r="A10977" s="55"/>
      <c r="B10977"/>
    </row>
    <row r="10978" spans="1:2">
      <c r="A10978" s="55"/>
      <c r="B10978"/>
    </row>
    <row r="10979" spans="1:2">
      <c r="A10979" s="55"/>
      <c r="B10979"/>
    </row>
    <row r="10980" spans="1:2">
      <c r="A10980" s="55"/>
      <c r="B10980"/>
    </row>
    <row r="10981" spans="1:2">
      <c r="A10981" s="55"/>
      <c r="B10981"/>
    </row>
    <row r="10982" spans="1:2">
      <c r="A10982" s="55"/>
      <c r="B10982"/>
    </row>
    <row r="10983" spans="1:2">
      <c r="A10983" s="55"/>
      <c r="B10983"/>
    </row>
    <row r="10984" spans="1:2">
      <c r="A10984" s="55"/>
      <c r="B10984"/>
    </row>
    <row r="10985" spans="1:2">
      <c r="A10985" s="55"/>
      <c r="B10985"/>
    </row>
    <row r="10986" spans="1:2">
      <c r="A10986" s="55"/>
      <c r="B10986"/>
    </row>
    <row r="10987" spans="1:2">
      <c r="A10987" s="55"/>
      <c r="B10987"/>
    </row>
    <row r="10988" spans="1:2">
      <c r="A10988" s="55"/>
      <c r="B10988"/>
    </row>
    <row r="10989" spans="1:2">
      <c r="A10989" s="55"/>
      <c r="B10989"/>
    </row>
    <row r="10990" spans="1:2">
      <c r="A10990" s="55"/>
      <c r="B10990"/>
    </row>
    <row r="10991" spans="1:2">
      <c r="A10991" s="55"/>
      <c r="B10991"/>
    </row>
    <row r="10992" spans="1:2">
      <c r="A10992" s="55"/>
      <c r="B10992"/>
    </row>
    <row r="10993" spans="1:2">
      <c r="A10993" s="55"/>
      <c r="B10993"/>
    </row>
    <row r="10994" spans="1:2">
      <c r="A10994" s="55"/>
      <c r="B10994"/>
    </row>
    <row r="10995" spans="1:2">
      <c r="A10995" s="55"/>
      <c r="B10995"/>
    </row>
    <row r="10996" spans="1:2">
      <c r="A10996" s="55"/>
      <c r="B10996"/>
    </row>
    <row r="10997" spans="1:2">
      <c r="A10997" s="55"/>
      <c r="B10997"/>
    </row>
    <row r="10998" spans="1:2">
      <c r="A10998" s="55"/>
      <c r="B10998"/>
    </row>
    <row r="10999" spans="1:2">
      <c r="A10999" s="55"/>
      <c r="B10999"/>
    </row>
    <row r="11000" spans="1:2">
      <c r="A11000" s="55"/>
      <c r="B11000"/>
    </row>
    <row r="11001" spans="1:2">
      <c r="A11001" s="55"/>
      <c r="B11001"/>
    </row>
    <row r="11002" spans="1:2">
      <c r="A11002" s="55"/>
      <c r="B11002"/>
    </row>
    <row r="11003" spans="1:2">
      <c r="A11003" s="55"/>
      <c r="B11003"/>
    </row>
    <row r="11004" spans="1:2">
      <c r="A11004" s="55"/>
      <c r="B11004"/>
    </row>
    <row r="11005" spans="1:2">
      <c r="A11005" s="55"/>
      <c r="B11005"/>
    </row>
    <row r="11006" spans="1:2">
      <c r="A11006" s="55"/>
      <c r="B11006"/>
    </row>
    <row r="11007" spans="1:2">
      <c r="A11007" s="55"/>
      <c r="B11007"/>
    </row>
    <row r="11008" spans="1:2">
      <c r="A11008" s="55"/>
      <c r="B11008"/>
    </row>
    <row r="11009" spans="1:2">
      <c r="A11009" s="55"/>
      <c r="B11009"/>
    </row>
    <row r="11010" spans="1:2">
      <c r="A11010" s="55"/>
      <c r="B11010"/>
    </row>
    <row r="11011" spans="1:2">
      <c r="A11011" s="55"/>
      <c r="B11011"/>
    </row>
    <row r="11012" spans="1:2">
      <c r="A11012" s="55"/>
      <c r="B11012"/>
    </row>
    <row r="11013" spans="1:2">
      <c r="A11013" s="55"/>
      <c r="B11013"/>
    </row>
    <row r="11014" spans="1:2">
      <c r="A11014" s="55"/>
      <c r="B11014"/>
    </row>
    <row r="11015" spans="1:2">
      <c r="A11015" s="55"/>
      <c r="B11015"/>
    </row>
    <row r="11016" spans="1:2">
      <c r="A11016" s="55"/>
      <c r="B11016"/>
    </row>
    <row r="11017" spans="1:2">
      <c r="A11017" s="55"/>
      <c r="B11017"/>
    </row>
    <row r="11018" spans="1:2">
      <c r="A11018" s="55"/>
      <c r="B11018"/>
    </row>
    <row r="11019" spans="1:2">
      <c r="A11019" s="55"/>
      <c r="B11019"/>
    </row>
    <row r="11020" spans="1:2">
      <c r="A11020" s="55"/>
      <c r="B11020"/>
    </row>
    <row r="11021" spans="1:2">
      <c r="A11021" s="55"/>
      <c r="B11021"/>
    </row>
    <row r="11022" spans="1:2">
      <c r="A11022" s="55"/>
      <c r="B11022"/>
    </row>
    <row r="11023" spans="1:2">
      <c r="A11023" s="55"/>
      <c r="B11023"/>
    </row>
    <row r="11024" spans="1:2">
      <c r="A11024" s="55"/>
      <c r="B11024"/>
    </row>
    <row r="11025" spans="1:2">
      <c r="A11025" s="55"/>
      <c r="B11025"/>
    </row>
    <row r="11026" spans="1:2">
      <c r="A11026" s="55"/>
      <c r="B11026"/>
    </row>
    <row r="11027" spans="1:2">
      <c r="A11027" s="55"/>
      <c r="B11027"/>
    </row>
    <row r="11028" spans="1:2">
      <c r="A11028" s="55"/>
      <c r="B11028"/>
    </row>
    <row r="11029" spans="1:2">
      <c r="A11029" s="55"/>
      <c r="B11029"/>
    </row>
    <row r="11030" spans="1:2">
      <c r="A11030" s="55"/>
      <c r="B11030"/>
    </row>
    <row r="11031" spans="1:2">
      <c r="A11031" s="55"/>
      <c r="B11031"/>
    </row>
    <row r="11032" spans="1:2">
      <c r="A11032" s="55"/>
      <c r="B11032"/>
    </row>
    <row r="11033" spans="1:2">
      <c r="A11033" s="55"/>
      <c r="B11033"/>
    </row>
    <row r="11034" spans="1:2">
      <c r="A11034" s="55"/>
      <c r="B11034"/>
    </row>
    <row r="11035" spans="1:2">
      <c r="A11035" s="55"/>
      <c r="B11035"/>
    </row>
    <row r="11036" spans="1:2">
      <c r="A11036" s="55"/>
      <c r="B11036"/>
    </row>
    <row r="11037" spans="1:2">
      <c r="A11037" s="55"/>
      <c r="B11037"/>
    </row>
    <row r="11038" spans="1:2">
      <c r="A11038" s="55"/>
      <c r="B11038"/>
    </row>
    <row r="11039" spans="1:2">
      <c r="A11039" s="55"/>
      <c r="B11039"/>
    </row>
    <row r="11040" spans="1:2">
      <c r="A11040" s="55"/>
      <c r="B11040"/>
    </row>
    <row r="11041" spans="1:2">
      <c r="A11041" s="55"/>
      <c r="B11041"/>
    </row>
    <row r="11042" spans="1:2">
      <c r="A11042" s="55"/>
      <c r="B11042"/>
    </row>
    <row r="11043" spans="1:2">
      <c r="A11043" s="55"/>
      <c r="B11043"/>
    </row>
    <row r="11044" spans="1:2">
      <c r="A11044" s="55"/>
      <c r="B11044"/>
    </row>
    <row r="11045" spans="1:2">
      <c r="A11045" s="55"/>
      <c r="B11045"/>
    </row>
    <row r="11046" spans="1:2">
      <c r="A11046" s="55"/>
      <c r="B11046"/>
    </row>
    <row r="11047" spans="1:2">
      <c r="A11047" s="55"/>
      <c r="B11047"/>
    </row>
    <row r="11048" spans="1:2">
      <c r="A11048" s="55"/>
      <c r="B11048"/>
    </row>
    <row r="11049" spans="1:2">
      <c r="A11049" s="55"/>
      <c r="B11049"/>
    </row>
    <row r="11050" spans="1:2">
      <c r="A11050" s="55"/>
      <c r="B11050"/>
    </row>
    <row r="11051" spans="1:2">
      <c r="A11051" s="55"/>
      <c r="B11051"/>
    </row>
    <row r="11052" spans="1:2">
      <c r="A11052" s="55"/>
      <c r="B11052"/>
    </row>
    <row r="11053" spans="1:2">
      <c r="A11053" s="55"/>
      <c r="B11053"/>
    </row>
    <row r="11054" spans="1:2">
      <c r="A11054" s="55"/>
      <c r="B11054"/>
    </row>
    <row r="11055" spans="1:2">
      <c r="A11055" s="55"/>
      <c r="B11055"/>
    </row>
    <row r="11056" spans="1:2">
      <c r="A11056" s="55"/>
      <c r="B11056"/>
    </row>
    <row r="11057" spans="1:2">
      <c r="A11057" s="55"/>
      <c r="B11057"/>
    </row>
    <row r="11058" spans="1:2">
      <c r="A11058" s="55"/>
      <c r="B11058"/>
    </row>
    <row r="11059" spans="1:2">
      <c r="A11059" s="55"/>
      <c r="B11059"/>
    </row>
    <row r="11060" spans="1:2">
      <c r="A11060" s="55"/>
      <c r="B11060"/>
    </row>
    <row r="11061" spans="1:2">
      <c r="A11061" s="55"/>
      <c r="B11061"/>
    </row>
    <row r="11062" spans="1:2">
      <c r="A11062" s="55"/>
      <c r="B11062"/>
    </row>
    <row r="11063" spans="1:2">
      <c r="A11063" s="55"/>
      <c r="B11063"/>
    </row>
    <row r="11064" spans="1:2">
      <c r="A11064" s="55"/>
      <c r="B11064"/>
    </row>
    <row r="11065" spans="1:2">
      <c r="A11065" s="55"/>
      <c r="B11065"/>
    </row>
    <row r="11066" spans="1:2">
      <c r="A11066" s="55"/>
      <c r="B11066"/>
    </row>
    <row r="11067" spans="1:2">
      <c r="A11067" s="55"/>
      <c r="B11067"/>
    </row>
    <row r="11068" spans="1:2">
      <c r="A11068" s="55"/>
      <c r="B11068"/>
    </row>
    <row r="11069" spans="1:2">
      <c r="A11069" s="55"/>
      <c r="B11069"/>
    </row>
    <row r="11070" spans="1:2">
      <c r="A11070" s="55"/>
      <c r="B11070"/>
    </row>
    <row r="11071" spans="1:2">
      <c r="A11071" s="55"/>
      <c r="B11071"/>
    </row>
    <row r="11072" spans="1:2">
      <c r="A11072" s="55"/>
      <c r="B11072"/>
    </row>
    <row r="11073" spans="1:2">
      <c r="A11073" s="55"/>
      <c r="B11073"/>
    </row>
    <row r="11074" spans="1:2">
      <c r="A11074" s="55"/>
      <c r="B11074"/>
    </row>
    <row r="11075" spans="1:2">
      <c r="A11075" s="55"/>
      <c r="B11075"/>
    </row>
    <row r="11076" spans="1:2">
      <c r="A11076" s="55"/>
      <c r="B11076"/>
    </row>
    <row r="11077" spans="1:2">
      <c r="A11077" s="55"/>
      <c r="B11077"/>
    </row>
    <row r="11078" spans="1:2">
      <c r="A11078" s="55"/>
      <c r="B11078"/>
    </row>
    <row r="11079" spans="1:2">
      <c r="A11079" s="55"/>
      <c r="B11079"/>
    </row>
    <row r="11080" spans="1:2">
      <c r="A11080" s="55"/>
      <c r="B11080"/>
    </row>
    <row r="11081" spans="1:2">
      <c r="A11081" s="55"/>
      <c r="B11081"/>
    </row>
    <row r="11082" spans="1:2">
      <c r="A11082" s="55"/>
      <c r="B11082"/>
    </row>
    <row r="11083" spans="1:2">
      <c r="A11083" s="55"/>
      <c r="B11083"/>
    </row>
    <row r="11084" spans="1:2">
      <c r="A11084" s="55"/>
      <c r="B11084"/>
    </row>
    <row r="11085" spans="1:2">
      <c r="A11085" s="55"/>
      <c r="B11085"/>
    </row>
    <row r="11086" spans="1:2">
      <c r="A11086" s="55"/>
      <c r="B11086"/>
    </row>
    <row r="11087" spans="1:2">
      <c r="A11087" s="55"/>
      <c r="B11087"/>
    </row>
    <row r="11088" spans="1:2">
      <c r="A11088" s="55"/>
      <c r="B11088"/>
    </row>
    <row r="11089" spans="1:2">
      <c r="A11089" s="55"/>
      <c r="B11089"/>
    </row>
    <row r="11090" spans="1:2">
      <c r="A11090" s="55"/>
      <c r="B11090"/>
    </row>
    <row r="11091" spans="1:2">
      <c r="A11091" s="55"/>
      <c r="B11091"/>
    </row>
    <row r="11092" spans="1:2">
      <c r="A11092" s="55"/>
      <c r="B11092"/>
    </row>
    <row r="11093" spans="1:2">
      <c r="A11093" s="55"/>
      <c r="B11093"/>
    </row>
    <row r="11094" spans="1:2">
      <c r="A11094" s="55"/>
      <c r="B11094"/>
    </row>
    <row r="11095" spans="1:2">
      <c r="A11095" s="55"/>
      <c r="B11095"/>
    </row>
    <row r="11096" spans="1:2">
      <c r="A11096" s="55"/>
      <c r="B11096"/>
    </row>
    <row r="11097" spans="1:2">
      <c r="A11097" s="55"/>
      <c r="B11097"/>
    </row>
    <row r="11098" spans="1:2">
      <c r="A11098" s="55"/>
      <c r="B11098"/>
    </row>
    <row r="11099" spans="1:2">
      <c r="A11099" s="55"/>
      <c r="B11099"/>
    </row>
    <row r="11100" spans="1:2">
      <c r="A11100" s="55"/>
      <c r="B11100"/>
    </row>
    <row r="11101" spans="1:2">
      <c r="A11101" s="55"/>
      <c r="B11101"/>
    </row>
    <row r="11102" spans="1:2">
      <c r="A11102" s="55"/>
      <c r="B11102"/>
    </row>
    <row r="11103" spans="1:2">
      <c r="A11103" s="55"/>
      <c r="B11103"/>
    </row>
    <row r="11104" spans="1:2">
      <c r="A11104" s="55"/>
      <c r="B11104"/>
    </row>
    <row r="11105" spans="1:2">
      <c r="A11105" s="55"/>
      <c r="B11105"/>
    </row>
    <row r="11106" spans="1:2">
      <c r="A11106" s="55"/>
      <c r="B11106"/>
    </row>
    <row r="11107" spans="1:2">
      <c r="A11107" s="55"/>
      <c r="B11107"/>
    </row>
    <row r="11108" spans="1:2">
      <c r="A11108" s="55"/>
      <c r="B11108"/>
    </row>
    <row r="11109" spans="1:2">
      <c r="A11109" s="55"/>
      <c r="B11109"/>
    </row>
    <row r="11110" spans="1:2">
      <c r="A11110" s="55"/>
      <c r="B11110"/>
    </row>
    <row r="11111" spans="1:2">
      <c r="A11111" s="55"/>
      <c r="B11111"/>
    </row>
    <row r="11112" spans="1:2">
      <c r="A11112" s="55"/>
      <c r="B11112"/>
    </row>
    <row r="11113" spans="1:2">
      <c r="A11113" s="55"/>
      <c r="B11113"/>
    </row>
    <row r="11114" spans="1:2">
      <c r="A11114" s="55"/>
      <c r="B11114"/>
    </row>
    <row r="11115" spans="1:2">
      <c r="A11115" s="55"/>
      <c r="B11115"/>
    </row>
    <row r="11116" spans="1:2">
      <c r="A11116" s="55"/>
      <c r="B11116"/>
    </row>
    <row r="11117" spans="1:2">
      <c r="A11117" s="55"/>
      <c r="B11117"/>
    </row>
    <row r="11118" spans="1:2">
      <c r="A11118" s="55"/>
      <c r="B11118"/>
    </row>
    <row r="11119" spans="1:2">
      <c r="A11119" s="55"/>
      <c r="B11119"/>
    </row>
    <row r="11120" spans="1:2">
      <c r="A11120" s="55"/>
      <c r="B11120"/>
    </row>
    <row r="11121" spans="1:2">
      <c r="A11121" s="55"/>
      <c r="B11121"/>
    </row>
    <row r="11122" spans="1:2">
      <c r="A11122" s="55"/>
      <c r="B11122"/>
    </row>
    <row r="11123" spans="1:2">
      <c r="A11123" s="55"/>
      <c r="B11123"/>
    </row>
    <row r="11124" spans="1:2">
      <c r="A11124" s="55"/>
      <c r="B11124"/>
    </row>
    <row r="11125" spans="1:2">
      <c r="A11125" s="55"/>
      <c r="B11125"/>
    </row>
    <row r="11126" spans="1:2">
      <c r="A11126" s="55"/>
      <c r="B11126"/>
    </row>
    <row r="11127" spans="1:2">
      <c r="A11127" s="55"/>
      <c r="B11127"/>
    </row>
    <row r="11128" spans="1:2">
      <c r="A11128" s="55"/>
      <c r="B11128"/>
    </row>
    <row r="11129" spans="1:2">
      <c r="A11129" s="55"/>
      <c r="B11129"/>
    </row>
    <row r="11130" spans="1:2">
      <c r="A11130" s="55"/>
      <c r="B11130"/>
    </row>
    <row r="11131" spans="1:2">
      <c r="A11131" s="55"/>
      <c r="B11131"/>
    </row>
    <row r="11132" spans="1:2">
      <c r="A11132" s="55"/>
      <c r="B11132"/>
    </row>
    <row r="11133" spans="1:2">
      <c r="A11133" s="55"/>
      <c r="B11133"/>
    </row>
    <row r="11134" spans="1:2">
      <c r="A11134" s="55"/>
      <c r="B11134"/>
    </row>
    <row r="11135" spans="1:2">
      <c r="A11135" s="55"/>
      <c r="B11135"/>
    </row>
    <row r="11136" spans="1:2">
      <c r="A11136" s="55"/>
      <c r="B11136"/>
    </row>
    <row r="11137" spans="1:2">
      <c r="A11137" s="55"/>
      <c r="B11137"/>
    </row>
    <row r="11138" spans="1:2">
      <c r="A11138" s="55"/>
      <c r="B11138"/>
    </row>
    <row r="11139" spans="1:2">
      <c r="A11139" s="55"/>
      <c r="B11139"/>
    </row>
    <row r="11140" spans="1:2">
      <c r="A11140" s="55"/>
      <c r="B11140"/>
    </row>
    <row r="11141" spans="1:2">
      <c r="A11141" s="55"/>
      <c r="B11141"/>
    </row>
    <row r="11142" spans="1:2">
      <c r="A11142" s="55"/>
      <c r="B11142"/>
    </row>
    <row r="11143" spans="1:2">
      <c r="A11143" s="55"/>
      <c r="B11143"/>
    </row>
    <row r="11144" spans="1:2">
      <c r="A11144" s="55"/>
      <c r="B11144"/>
    </row>
    <row r="11145" spans="1:2">
      <c r="A11145" s="55"/>
      <c r="B11145"/>
    </row>
    <row r="11146" spans="1:2">
      <c r="A11146" s="55"/>
      <c r="B11146"/>
    </row>
    <row r="11147" spans="1:2">
      <c r="A11147" s="55"/>
      <c r="B11147"/>
    </row>
    <row r="11148" spans="1:2">
      <c r="A11148" s="55"/>
      <c r="B11148"/>
    </row>
    <row r="11149" spans="1:2">
      <c r="A11149" s="55"/>
      <c r="B11149"/>
    </row>
    <row r="11150" spans="1:2">
      <c r="A11150" s="55"/>
      <c r="B11150"/>
    </row>
    <row r="11151" spans="1:2">
      <c r="A11151" s="55"/>
      <c r="B11151"/>
    </row>
    <row r="11152" spans="1:2">
      <c r="A11152" s="55"/>
      <c r="B11152"/>
    </row>
    <row r="11153" spans="1:2">
      <c r="A11153" s="55"/>
      <c r="B11153"/>
    </row>
    <row r="11154" spans="1:2">
      <c r="A11154" s="55"/>
      <c r="B11154"/>
    </row>
    <row r="11155" spans="1:2">
      <c r="A11155" s="55"/>
      <c r="B11155"/>
    </row>
    <row r="11156" spans="1:2">
      <c r="A11156" s="55"/>
      <c r="B11156"/>
    </row>
    <row r="11157" spans="1:2">
      <c r="A11157" s="55"/>
      <c r="B11157"/>
    </row>
    <row r="11158" spans="1:2">
      <c r="A11158" s="55"/>
      <c r="B11158"/>
    </row>
    <row r="11159" spans="1:2">
      <c r="A11159" s="55"/>
      <c r="B11159"/>
    </row>
    <row r="11160" spans="1:2">
      <c r="A11160" s="55"/>
      <c r="B11160"/>
    </row>
    <row r="11161" spans="1:2">
      <c r="A11161" s="55"/>
      <c r="B11161"/>
    </row>
    <row r="11162" spans="1:2">
      <c r="A11162" s="55"/>
      <c r="B11162"/>
    </row>
    <row r="11163" spans="1:2">
      <c r="A11163" s="55"/>
      <c r="B11163"/>
    </row>
    <row r="11164" spans="1:2">
      <c r="A11164" s="55"/>
      <c r="B11164"/>
    </row>
    <row r="11165" spans="1:2">
      <c r="A11165" s="55"/>
      <c r="B11165"/>
    </row>
    <row r="11166" spans="1:2">
      <c r="A11166" s="55"/>
      <c r="B11166"/>
    </row>
    <row r="11167" spans="1:2">
      <c r="A11167" s="55"/>
      <c r="B11167"/>
    </row>
    <row r="11168" spans="1:2">
      <c r="A11168" s="55"/>
      <c r="B11168"/>
    </row>
    <row r="11169" spans="1:2">
      <c r="A11169" s="55"/>
      <c r="B11169"/>
    </row>
    <row r="11170" spans="1:2">
      <c r="A11170" s="55"/>
      <c r="B11170"/>
    </row>
    <row r="11171" spans="1:2">
      <c r="A11171" s="55"/>
      <c r="B11171"/>
    </row>
    <row r="11172" spans="1:2">
      <c r="A11172" s="55"/>
      <c r="B11172"/>
    </row>
    <row r="11173" spans="1:2">
      <c r="A11173" s="55"/>
      <c r="B11173"/>
    </row>
    <row r="11174" spans="1:2">
      <c r="A11174" s="55"/>
      <c r="B11174"/>
    </row>
    <row r="11175" spans="1:2">
      <c r="A11175" s="55"/>
      <c r="B11175"/>
    </row>
    <row r="11176" spans="1:2">
      <c r="A11176" s="55"/>
      <c r="B11176"/>
    </row>
    <row r="11177" spans="1:2">
      <c r="A11177" s="55"/>
      <c r="B11177"/>
    </row>
    <row r="11178" spans="1:2">
      <c r="A11178" s="55"/>
      <c r="B11178"/>
    </row>
    <row r="11179" spans="1:2">
      <c r="A11179" s="55"/>
      <c r="B11179"/>
    </row>
    <row r="11180" spans="1:2">
      <c r="A11180" s="55"/>
      <c r="B11180"/>
    </row>
    <row r="11181" spans="1:2">
      <c r="A11181" s="55"/>
      <c r="B11181"/>
    </row>
    <row r="11182" spans="1:2">
      <c r="A11182" s="55"/>
      <c r="B11182"/>
    </row>
    <row r="11183" spans="1:2">
      <c r="A11183" s="55"/>
      <c r="B11183"/>
    </row>
    <row r="11184" spans="1:2">
      <c r="A11184" s="55"/>
      <c r="B11184"/>
    </row>
    <row r="11185" spans="1:2">
      <c r="A11185" s="55"/>
      <c r="B11185"/>
    </row>
    <row r="11186" spans="1:2">
      <c r="A11186" s="55"/>
      <c r="B11186"/>
    </row>
    <row r="11187" spans="1:2">
      <c r="A11187" s="55"/>
      <c r="B11187"/>
    </row>
    <row r="11188" spans="1:2">
      <c r="A11188" s="55"/>
      <c r="B11188"/>
    </row>
    <row r="11189" spans="1:2">
      <c r="A11189" s="55"/>
      <c r="B11189"/>
    </row>
    <row r="11190" spans="1:2">
      <c r="A11190" s="55"/>
      <c r="B11190"/>
    </row>
    <row r="11191" spans="1:2">
      <c r="A11191" s="55"/>
      <c r="B11191"/>
    </row>
    <row r="11192" spans="1:2">
      <c r="A11192" s="55"/>
      <c r="B11192"/>
    </row>
    <row r="11193" spans="1:2">
      <c r="A11193" s="55"/>
      <c r="B11193"/>
    </row>
    <row r="11194" spans="1:2">
      <c r="A11194" s="55"/>
      <c r="B11194"/>
    </row>
    <row r="11195" spans="1:2">
      <c r="A11195" s="55"/>
      <c r="B11195"/>
    </row>
    <row r="11196" spans="1:2">
      <c r="A11196" s="55"/>
      <c r="B11196"/>
    </row>
    <row r="11197" spans="1:2">
      <c r="A11197" s="55"/>
      <c r="B11197"/>
    </row>
    <row r="11198" spans="1:2">
      <c r="A11198" s="55"/>
      <c r="B11198"/>
    </row>
    <row r="11199" spans="1:2">
      <c r="A11199" s="55"/>
      <c r="B11199"/>
    </row>
    <row r="11200" spans="1:2">
      <c r="A11200" s="55"/>
      <c r="B11200"/>
    </row>
    <row r="11201" spans="1:2">
      <c r="A11201" s="55"/>
      <c r="B11201"/>
    </row>
    <row r="11202" spans="1:2">
      <c r="A11202" s="55"/>
      <c r="B11202"/>
    </row>
    <row r="11203" spans="1:2">
      <c r="A11203" s="55"/>
      <c r="B11203"/>
    </row>
    <row r="11204" spans="1:2">
      <c r="A11204" s="55"/>
      <c r="B11204"/>
    </row>
    <row r="11205" spans="1:2">
      <c r="A11205" s="55"/>
      <c r="B11205"/>
    </row>
    <row r="11206" spans="1:2">
      <c r="A11206" s="55"/>
      <c r="B11206"/>
    </row>
    <row r="11207" spans="1:2">
      <c r="A11207" s="55"/>
      <c r="B11207"/>
    </row>
    <row r="11208" spans="1:2">
      <c r="A11208" s="55"/>
      <c r="B11208"/>
    </row>
    <row r="11209" spans="1:2">
      <c r="A11209" s="55"/>
      <c r="B11209"/>
    </row>
    <row r="11210" spans="1:2">
      <c r="A11210" s="55"/>
      <c r="B11210"/>
    </row>
    <row r="11211" spans="1:2">
      <c r="A11211" s="55"/>
      <c r="B11211"/>
    </row>
    <row r="11212" spans="1:2">
      <c r="A11212" s="55"/>
      <c r="B11212"/>
    </row>
    <row r="11213" spans="1:2">
      <c r="A11213" s="55"/>
      <c r="B11213"/>
    </row>
    <row r="11214" spans="1:2">
      <c r="A11214" s="55"/>
      <c r="B11214"/>
    </row>
    <row r="11215" spans="1:2">
      <c r="A11215" s="55"/>
      <c r="B11215"/>
    </row>
    <row r="11216" spans="1:2">
      <c r="A11216" s="55"/>
      <c r="B11216"/>
    </row>
    <row r="11217" spans="1:2">
      <c r="A11217" s="55"/>
      <c r="B11217"/>
    </row>
    <row r="11218" spans="1:2">
      <c r="A11218" s="55"/>
      <c r="B11218"/>
    </row>
    <row r="11219" spans="1:2">
      <c r="A11219" s="55"/>
      <c r="B11219"/>
    </row>
    <row r="11220" spans="1:2">
      <c r="A11220" s="55"/>
      <c r="B11220"/>
    </row>
    <row r="11221" spans="1:2">
      <c r="A11221" s="55"/>
      <c r="B11221"/>
    </row>
    <row r="11222" spans="1:2">
      <c r="A11222" s="55"/>
      <c r="B11222"/>
    </row>
    <row r="11223" spans="1:2">
      <c r="A11223" s="55"/>
      <c r="B11223"/>
    </row>
    <row r="11224" spans="1:2">
      <c r="A11224" s="55"/>
      <c r="B11224"/>
    </row>
    <row r="11225" spans="1:2">
      <c r="A11225" s="55"/>
      <c r="B11225"/>
    </row>
    <row r="11226" spans="1:2">
      <c r="A11226" s="55"/>
      <c r="B11226"/>
    </row>
    <row r="11227" spans="1:2">
      <c r="A11227" s="55"/>
      <c r="B11227"/>
    </row>
    <row r="11228" spans="1:2">
      <c r="A11228" s="55"/>
      <c r="B11228"/>
    </row>
    <row r="11229" spans="1:2">
      <c r="A11229" s="55"/>
      <c r="B11229"/>
    </row>
    <row r="11230" spans="1:2">
      <c r="A11230" s="55"/>
      <c r="B11230"/>
    </row>
    <row r="11231" spans="1:2">
      <c r="A11231" s="55"/>
      <c r="B11231"/>
    </row>
    <row r="11232" spans="1:2">
      <c r="A11232" s="55"/>
      <c r="B11232"/>
    </row>
    <row r="11233" spans="1:2">
      <c r="A11233" s="55"/>
      <c r="B11233"/>
    </row>
    <row r="11234" spans="1:2">
      <c r="A11234" s="55"/>
      <c r="B11234"/>
    </row>
    <row r="11235" spans="1:2">
      <c r="A11235" s="55"/>
      <c r="B11235"/>
    </row>
    <row r="11236" spans="1:2">
      <c r="A11236" s="55"/>
      <c r="B11236"/>
    </row>
    <row r="11237" spans="1:2">
      <c r="A11237" s="55"/>
      <c r="B11237"/>
    </row>
    <row r="11238" spans="1:2">
      <c r="A11238" s="55"/>
      <c r="B11238"/>
    </row>
    <row r="11239" spans="1:2">
      <c r="A11239" s="55"/>
      <c r="B11239"/>
    </row>
    <row r="11240" spans="1:2">
      <c r="A11240" s="55"/>
      <c r="B11240"/>
    </row>
    <row r="11241" spans="1:2">
      <c r="A11241" s="55"/>
      <c r="B11241"/>
    </row>
    <row r="11242" spans="1:2">
      <c r="A11242" s="55"/>
      <c r="B11242"/>
    </row>
    <row r="11243" spans="1:2">
      <c r="A11243" s="55"/>
      <c r="B11243"/>
    </row>
    <row r="11244" spans="1:2">
      <c r="A11244" s="55"/>
      <c r="B11244"/>
    </row>
    <row r="11245" spans="1:2">
      <c r="A11245" s="55"/>
      <c r="B11245"/>
    </row>
    <row r="11246" spans="1:2">
      <c r="A11246" s="55"/>
      <c r="B11246"/>
    </row>
    <row r="11247" spans="1:2">
      <c r="A11247" s="55"/>
      <c r="B11247"/>
    </row>
    <row r="11248" spans="1:2">
      <c r="A11248" s="55"/>
      <c r="B11248"/>
    </row>
    <row r="11249" spans="1:2">
      <c r="A11249" s="55"/>
      <c r="B11249"/>
    </row>
    <row r="11250" spans="1:2">
      <c r="A11250" s="55"/>
      <c r="B11250"/>
    </row>
    <row r="11251" spans="1:2">
      <c r="A11251" s="55"/>
      <c r="B11251"/>
    </row>
    <row r="11252" spans="1:2">
      <c r="A11252" s="55"/>
      <c r="B11252"/>
    </row>
    <row r="11253" spans="1:2">
      <c r="A11253" s="55"/>
      <c r="B11253"/>
    </row>
    <row r="11254" spans="1:2">
      <c r="A11254" s="55"/>
      <c r="B11254"/>
    </row>
    <row r="11255" spans="1:2">
      <c r="A11255" s="55"/>
      <c r="B11255"/>
    </row>
    <row r="11256" spans="1:2">
      <c r="A11256" s="55"/>
      <c r="B11256"/>
    </row>
    <row r="11257" spans="1:2">
      <c r="A11257" s="55"/>
      <c r="B11257"/>
    </row>
    <row r="11258" spans="1:2">
      <c r="A11258" s="55"/>
      <c r="B11258"/>
    </row>
    <row r="11259" spans="1:2">
      <c r="A11259" s="55"/>
      <c r="B11259"/>
    </row>
    <row r="11260" spans="1:2">
      <c r="A11260" s="55"/>
      <c r="B11260"/>
    </row>
    <row r="11261" spans="1:2">
      <c r="A11261" s="55"/>
      <c r="B11261"/>
    </row>
    <row r="11262" spans="1:2">
      <c r="A11262" s="55"/>
      <c r="B11262"/>
    </row>
    <row r="11263" spans="1:2">
      <c r="A11263" s="55"/>
      <c r="B11263"/>
    </row>
    <row r="11264" spans="1:2">
      <c r="A11264" s="55"/>
      <c r="B11264"/>
    </row>
    <row r="11265" spans="1:2">
      <c r="A11265" s="55"/>
      <c r="B11265"/>
    </row>
    <row r="11266" spans="1:2">
      <c r="A11266" s="55"/>
      <c r="B11266"/>
    </row>
    <row r="11267" spans="1:2">
      <c r="A11267" s="55"/>
      <c r="B11267"/>
    </row>
    <row r="11268" spans="1:2">
      <c r="A11268" s="55"/>
      <c r="B11268"/>
    </row>
    <row r="11269" spans="1:2">
      <c r="A11269" s="55"/>
      <c r="B11269"/>
    </row>
    <row r="11270" spans="1:2">
      <c r="A11270" s="55"/>
      <c r="B11270"/>
    </row>
    <row r="11271" spans="1:2">
      <c r="A11271" s="55"/>
      <c r="B11271"/>
    </row>
    <row r="11272" spans="1:2">
      <c r="A11272" s="55"/>
      <c r="B11272"/>
    </row>
    <row r="11273" spans="1:2">
      <c r="A11273" s="55"/>
      <c r="B11273"/>
    </row>
    <row r="11274" spans="1:2">
      <c r="A11274" s="55"/>
      <c r="B11274"/>
    </row>
    <row r="11275" spans="1:2">
      <c r="A11275" s="55"/>
      <c r="B11275"/>
    </row>
    <row r="11276" spans="1:2">
      <c r="A11276" s="55"/>
      <c r="B11276"/>
    </row>
    <row r="11277" spans="1:2">
      <c r="A11277" s="55"/>
      <c r="B11277"/>
    </row>
    <row r="11278" spans="1:2">
      <c r="A11278" s="55"/>
      <c r="B11278"/>
    </row>
    <row r="11279" spans="1:2">
      <c r="A11279" s="55"/>
      <c r="B11279"/>
    </row>
    <row r="11280" spans="1:2">
      <c r="A11280" s="55"/>
      <c r="B11280"/>
    </row>
    <row r="11281" spans="1:2">
      <c r="A11281" s="55"/>
      <c r="B11281"/>
    </row>
    <row r="11282" spans="1:2">
      <c r="A11282" s="55"/>
      <c r="B11282"/>
    </row>
    <row r="11283" spans="1:2">
      <c r="A11283" s="55"/>
      <c r="B11283"/>
    </row>
    <row r="11284" spans="1:2">
      <c r="A11284" s="55"/>
      <c r="B11284"/>
    </row>
    <row r="11285" spans="1:2">
      <c r="A11285" s="55"/>
      <c r="B11285"/>
    </row>
    <row r="11286" spans="1:2">
      <c r="A11286" s="55"/>
      <c r="B11286"/>
    </row>
    <row r="11287" spans="1:2">
      <c r="A11287" s="55"/>
      <c r="B11287"/>
    </row>
    <row r="11288" spans="1:2">
      <c r="A11288" s="55"/>
      <c r="B11288"/>
    </row>
    <row r="11289" spans="1:2">
      <c r="A11289" s="55"/>
      <c r="B11289"/>
    </row>
    <row r="11290" spans="1:2">
      <c r="A11290" s="55"/>
      <c r="B11290"/>
    </row>
    <row r="11291" spans="1:2">
      <c r="A11291" s="55"/>
      <c r="B11291"/>
    </row>
    <row r="11292" spans="1:2">
      <c r="A11292" s="55"/>
      <c r="B11292"/>
    </row>
    <row r="11293" spans="1:2">
      <c r="A11293" s="55"/>
      <c r="B11293"/>
    </row>
    <row r="11294" spans="1:2">
      <c r="A11294" s="55"/>
      <c r="B11294"/>
    </row>
    <row r="11295" spans="1:2">
      <c r="A11295" s="55"/>
      <c r="B11295"/>
    </row>
    <row r="11296" spans="1:2">
      <c r="A11296" s="55"/>
      <c r="B11296"/>
    </row>
    <row r="11297" spans="1:2">
      <c r="A11297" s="55"/>
      <c r="B11297"/>
    </row>
    <row r="11298" spans="1:2">
      <c r="A11298" s="55"/>
      <c r="B11298"/>
    </row>
    <row r="11299" spans="1:2">
      <c r="A11299" s="55"/>
      <c r="B11299"/>
    </row>
    <row r="11300" spans="1:2">
      <c r="A11300" s="55"/>
      <c r="B11300"/>
    </row>
    <row r="11301" spans="1:2">
      <c r="A11301" s="55"/>
      <c r="B11301"/>
    </row>
    <row r="11302" spans="1:2">
      <c r="A11302" s="55"/>
      <c r="B11302"/>
    </row>
    <row r="11303" spans="1:2">
      <c r="A11303" s="55"/>
      <c r="B11303"/>
    </row>
    <row r="11304" spans="1:2">
      <c r="A11304" s="55"/>
      <c r="B11304"/>
    </row>
    <row r="11305" spans="1:2">
      <c r="A11305" s="55"/>
      <c r="B11305"/>
    </row>
    <row r="11306" spans="1:2">
      <c r="A11306" s="55"/>
      <c r="B11306"/>
    </row>
    <row r="11307" spans="1:2">
      <c r="A11307" s="55"/>
      <c r="B11307"/>
    </row>
    <row r="11308" spans="1:2">
      <c r="A11308" s="55"/>
      <c r="B11308"/>
    </row>
    <row r="11309" spans="1:2">
      <c r="A11309" s="55"/>
      <c r="B11309"/>
    </row>
    <row r="11310" spans="1:2">
      <c r="A11310" s="55"/>
      <c r="B11310"/>
    </row>
    <row r="11311" spans="1:2">
      <c r="A11311" s="55"/>
      <c r="B11311"/>
    </row>
    <row r="11312" spans="1:2">
      <c r="A11312" s="55"/>
      <c r="B11312"/>
    </row>
    <row r="11313" spans="1:2">
      <c r="A11313" s="55"/>
      <c r="B11313"/>
    </row>
    <row r="11314" spans="1:2">
      <c r="A11314" s="55"/>
      <c r="B11314"/>
    </row>
    <row r="11315" spans="1:2">
      <c r="A11315" s="55"/>
      <c r="B11315"/>
    </row>
    <row r="11316" spans="1:2">
      <c r="A11316" s="55"/>
      <c r="B11316"/>
    </row>
    <row r="11317" spans="1:2">
      <c r="A11317" s="55"/>
      <c r="B11317"/>
    </row>
    <row r="11318" spans="1:2">
      <c r="A11318" s="55"/>
      <c r="B11318"/>
    </row>
    <row r="11319" spans="1:2">
      <c r="A11319" s="55"/>
      <c r="B11319"/>
    </row>
    <row r="11320" spans="1:2">
      <c r="A11320" s="55"/>
      <c r="B11320"/>
    </row>
    <row r="11321" spans="1:2">
      <c r="A11321" s="55"/>
      <c r="B11321"/>
    </row>
    <row r="11322" spans="1:2">
      <c r="A11322" s="55"/>
      <c r="B11322"/>
    </row>
    <row r="11323" spans="1:2">
      <c r="A11323" s="55"/>
      <c r="B11323"/>
    </row>
    <row r="11324" spans="1:2">
      <c r="A11324" s="55"/>
      <c r="B11324"/>
    </row>
    <row r="11325" spans="1:2">
      <c r="A11325" s="55"/>
      <c r="B11325"/>
    </row>
    <row r="11326" spans="1:2">
      <c r="A11326" s="55"/>
      <c r="B11326"/>
    </row>
    <row r="11327" spans="1:2">
      <c r="A11327" s="55"/>
      <c r="B11327"/>
    </row>
    <row r="11328" spans="1:2">
      <c r="A11328" s="55"/>
      <c r="B11328"/>
    </row>
    <row r="11329" spans="1:2">
      <c r="A11329" s="55"/>
      <c r="B11329"/>
    </row>
    <row r="11330" spans="1:2">
      <c r="A11330" s="55"/>
      <c r="B11330"/>
    </row>
    <row r="11331" spans="1:2">
      <c r="A11331" s="55"/>
      <c r="B11331"/>
    </row>
    <row r="11332" spans="1:2">
      <c r="A11332" s="55"/>
      <c r="B11332"/>
    </row>
    <row r="11333" spans="1:2">
      <c r="A11333" s="55"/>
      <c r="B11333"/>
    </row>
    <row r="11334" spans="1:2">
      <c r="A11334" s="55"/>
      <c r="B11334"/>
    </row>
    <row r="11335" spans="1:2">
      <c r="A11335" s="55"/>
      <c r="B11335"/>
    </row>
    <row r="11336" spans="1:2">
      <c r="A11336" s="55"/>
      <c r="B11336"/>
    </row>
    <row r="11337" spans="1:2">
      <c r="A11337" s="55"/>
      <c r="B11337"/>
    </row>
    <row r="11338" spans="1:2">
      <c r="A11338" s="55"/>
      <c r="B11338"/>
    </row>
    <row r="11339" spans="1:2">
      <c r="A11339" s="55"/>
      <c r="B11339"/>
    </row>
    <row r="11340" spans="1:2">
      <c r="A11340" s="55"/>
      <c r="B11340"/>
    </row>
    <row r="11341" spans="1:2">
      <c r="A11341" s="55"/>
      <c r="B11341"/>
    </row>
    <row r="11342" spans="1:2">
      <c r="A11342" s="55"/>
      <c r="B11342"/>
    </row>
    <row r="11343" spans="1:2">
      <c r="A11343" s="55"/>
      <c r="B11343"/>
    </row>
    <row r="11344" spans="1:2">
      <c r="A11344" s="55"/>
      <c r="B11344"/>
    </row>
    <row r="11345" spans="1:2">
      <c r="A11345" s="55"/>
      <c r="B11345"/>
    </row>
    <row r="11346" spans="1:2">
      <c r="A11346" s="55"/>
      <c r="B11346"/>
    </row>
    <row r="11347" spans="1:2">
      <c r="A11347" s="55"/>
      <c r="B11347"/>
    </row>
    <row r="11348" spans="1:2">
      <c r="A11348" s="55"/>
      <c r="B11348"/>
    </row>
    <row r="11349" spans="1:2">
      <c r="A11349" s="55"/>
      <c r="B11349"/>
    </row>
    <row r="11350" spans="1:2">
      <c r="A11350" s="55"/>
      <c r="B11350"/>
    </row>
    <row r="11351" spans="1:2">
      <c r="A11351" s="55"/>
      <c r="B11351"/>
    </row>
    <row r="11352" spans="1:2">
      <c r="A11352" s="55"/>
      <c r="B11352"/>
    </row>
    <row r="11353" spans="1:2">
      <c r="A11353" s="55"/>
      <c r="B11353"/>
    </row>
    <row r="11354" spans="1:2">
      <c r="A11354" s="55"/>
      <c r="B11354"/>
    </row>
    <row r="11355" spans="1:2">
      <c r="A11355" s="55"/>
      <c r="B11355"/>
    </row>
    <row r="11356" spans="1:2">
      <c r="A11356" s="55"/>
      <c r="B11356"/>
    </row>
    <row r="11357" spans="1:2">
      <c r="A11357" s="55"/>
      <c r="B11357"/>
    </row>
    <row r="11358" spans="1:2">
      <c r="A11358" s="55"/>
      <c r="B11358"/>
    </row>
    <row r="11359" spans="1:2">
      <c r="A11359" s="55"/>
      <c r="B11359"/>
    </row>
    <row r="11360" spans="1:2">
      <c r="A11360" s="55"/>
      <c r="B11360"/>
    </row>
    <row r="11361" spans="1:2">
      <c r="A11361" s="55"/>
      <c r="B11361"/>
    </row>
    <row r="11362" spans="1:2">
      <c r="A11362" s="55"/>
      <c r="B11362"/>
    </row>
    <row r="11363" spans="1:2">
      <c r="A11363" s="55"/>
      <c r="B11363"/>
    </row>
    <row r="11364" spans="1:2">
      <c r="A11364" s="55"/>
      <c r="B11364"/>
    </row>
    <row r="11365" spans="1:2">
      <c r="A11365" s="55"/>
      <c r="B11365"/>
    </row>
    <row r="11366" spans="1:2">
      <c r="A11366" s="55"/>
      <c r="B11366"/>
    </row>
    <row r="11367" spans="1:2">
      <c r="A11367" s="55"/>
      <c r="B11367"/>
    </row>
    <row r="11368" spans="1:2">
      <c r="A11368" s="55"/>
      <c r="B11368"/>
    </row>
    <row r="11369" spans="1:2">
      <c r="A11369" s="55"/>
      <c r="B11369"/>
    </row>
    <row r="11370" spans="1:2">
      <c r="A11370" s="55"/>
      <c r="B11370"/>
    </row>
    <row r="11371" spans="1:2">
      <c r="A11371" s="55"/>
      <c r="B11371"/>
    </row>
    <row r="11372" spans="1:2">
      <c r="A11372" s="55"/>
      <c r="B11372"/>
    </row>
    <row r="11373" spans="1:2">
      <c r="A11373" s="55"/>
      <c r="B11373"/>
    </row>
    <row r="11374" spans="1:2">
      <c r="A11374" s="55"/>
      <c r="B11374"/>
    </row>
    <row r="11375" spans="1:2">
      <c r="A11375" s="55"/>
      <c r="B11375"/>
    </row>
    <row r="11376" spans="1:2">
      <c r="A11376" s="55"/>
      <c r="B11376"/>
    </row>
    <row r="11377" spans="1:2">
      <c r="A11377" s="55"/>
      <c r="B11377"/>
    </row>
    <row r="11378" spans="1:2">
      <c r="A11378" s="55"/>
      <c r="B11378"/>
    </row>
    <row r="11379" spans="1:2">
      <c r="A11379" s="55"/>
      <c r="B11379"/>
    </row>
    <row r="11380" spans="1:2">
      <c r="A11380" s="55"/>
      <c r="B11380"/>
    </row>
    <row r="11381" spans="1:2">
      <c r="A11381" s="55"/>
      <c r="B11381"/>
    </row>
    <row r="11382" spans="1:2">
      <c r="A11382" s="55"/>
      <c r="B11382"/>
    </row>
    <row r="11383" spans="1:2">
      <c r="A11383" s="55"/>
      <c r="B11383"/>
    </row>
    <row r="11384" spans="1:2">
      <c r="A11384" s="55"/>
      <c r="B11384"/>
    </row>
    <row r="11385" spans="1:2">
      <c r="A11385" s="55"/>
      <c r="B11385"/>
    </row>
    <row r="11386" spans="1:2">
      <c r="A11386" s="55"/>
      <c r="B11386"/>
    </row>
    <row r="11387" spans="1:2">
      <c r="A11387" s="55"/>
      <c r="B11387"/>
    </row>
    <row r="11388" spans="1:2">
      <c r="A11388" s="55"/>
      <c r="B11388"/>
    </row>
    <row r="11389" spans="1:2">
      <c r="A11389" s="55"/>
      <c r="B11389"/>
    </row>
    <row r="11390" spans="1:2">
      <c r="A11390" s="55"/>
      <c r="B11390"/>
    </row>
    <row r="11391" spans="1:2">
      <c r="A11391" s="55"/>
      <c r="B11391"/>
    </row>
    <row r="11392" spans="1:2">
      <c r="A11392" s="55"/>
      <c r="B11392"/>
    </row>
    <row r="11393" spans="1:2">
      <c r="A11393" s="55"/>
      <c r="B11393"/>
    </row>
    <row r="11394" spans="1:2">
      <c r="A11394" s="55"/>
      <c r="B11394"/>
    </row>
    <row r="11395" spans="1:2">
      <c r="A11395" s="55"/>
      <c r="B11395"/>
    </row>
    <row r="11396" spans="1:2">
      <c r="A11396" s="55"/>
      <c r="B11396"/>
    </row>
    <row r="11397" spans="1:2">
      <c r="A11397" s="55"/>
      <c r="B11397"/>
    </row>
    <row r="11398" spans="1:2">
      <c r="A11398" s="55"/>
      <c r="B11398"/>
    </row>
    <row r="11399" spans="1:2">
      <c r="A11399" s="55"/>
      <c r="B11399"/>
    </row>
    <row r="11400" spans="1:2">
      <c r="A11400" s="55"/>
      <c r="B11400"/>
    </row>
    <row r="11401" spans="1:2">
      <c r="A11401" s="55"/>
      <c r="B11401"/>
    </row>
    <row r="11402" spans="1:2">
      <c r="A11402" s="55"/>
      <c r="B11402"/>
    </row>
    <row r="11403" spans="1:2">
      <c r="A11403" s="55"/>
      <c r="B11403"/>
    </row>
    <row r="11404" spans="1:2">
      <c r="A11404" s="55"/>
      <c r="B11404"/>
    </row>
    <row r="11405" spans="1:2">
      <c r="A11405" s="55"/>
      <c r="B11405"/>
    </row>
    <row r="11406" spans="1:2">
      <c r="A11406" s="55"/>
      <c r="B11406"/>
    </row>
    <row r="11407" spans="1:2">
      <c r="A11407" s="55"/>
      <c r="B11407"/>
    </row>
    <row r="11408" spans="1:2">
      <c r="A11408" s="55"/>
      <c r="B11408"/>
    </row>
    <row r="11409" spans="1:2">
      <c r="A11409" s="55"/>
      <c r="B11409"/>
    </row>
    <row r="11410" spans="1:2">
      <c r="A11410" s="55"/>
      <c r="B11410"/>
    </row>
    <row r="11411" spans="1:2">
      <c r="A11411" s="55"/>
      <c r="B11411"/>
    </row>
    <row r="11412" spans="1:2">
      <c r="A11412" s="55"/>
      <c r="B11412"/>
    </row>
    <row r="11413" spans="1:2">
      <c r="A11413" s="55"/>
      <c r="B11413"/>
    </row>
    <row r="11414" spans="1:2">
      <c r="A11414" s="55"/>
      <c r="B11414"/>
    </row>
    <row r="11415" spans="1:2">
      <c r="A11415" s="55"/>
      <c r="B11415"/>
    </row>
    <row r="11416" spans="1:2">
      <c r="A11416" s="55"/>
      <c r="B11416"/>
    </row>
    <row r="11417" spans="1:2">
      <c r="A11417" s="55"/>
      <c r="B11417"/>
    </row>
    <row r="11418" spans="1:2">
      <c r="A11418" s="55"/>
      <c r="B11418"/>
    </row>
    <row r="11419" spans="1:2">
      <c r="A11419" s="55"/>
      <c r="B11419"/>
    </row>
    <row r="11420" spans="1:2">
      <c r="A11420" s="55"/>
      <c r="B11420"/>
    </row>
    <row r="11421" spans="1:2">
      <c r="A11421" s="55"/>
      <c r="B11421"/>
    </row>
    <row r="11422" spans="1:2">
      <c r="A11422" s="55"/>
      <c r="B11422"/>
    </row>
    <row r="11423" spans="1:2">
      <c r="A11423" s="55"/>
      <c r="B11423"/>
    </row>
    <row r="11424" spans="1:2">
      <c r="A11424" s="55"/>
      <c r="B11424"/>
    </row>
    <row r="11425" spans="1:2">
      <c r="A11425" s="55"/>
      <c r="B11425"/>
    </row>
    <row r="11426" spans="1:2">
      <c r="A11426" s="55"/>
      <c r="B11426"/>
    </row>
    <row r="11427" spans="1:2">
      <c r="A11427" s="55"/>
      <c r="B11427"/>
    </row>
    <row r="11428" spans="1:2">
      <c r="A11428" s="55"/>
      <c r="B11428"/>
    </row>
    <row r="11429" spans="1:2">
      <c r="A11429" s="55"/>
      <c r="B11429"/>
    </row>
    <row r="11430" spans="1:2">
      <c r="A11430" s="55"/>
      <c r="B11430"/>
    </row>
    <row r="11431" spans="1:2">
      <c r="A11431" s="55"/>
      <c r="B11431"/>
    </row>
    <row r="11432" spans="1:2">
      <c r="A11432" s="55"/>
      <c r="B11432"/>
    </row>
    <row r="11433" spans="1:2">
      <c r="A11433" s="55"/>
      <c r="B11433"/>
    </row>
    <row r="11434" spans="1:2">
      <c r="A11434" s="55"/>
      <c r="B11434"/>
    </row>
    <row r="11435" spans="1:2">
      <c r="A11435" s="55"/>
      <c r="B11435"/>
    </row>
    <row r="11436" spans="1:2">
      <c r="A11436" s="55"/>
      <c r="B11436"/>
    </row>
    <row r="11437" spans="1:2">
      <c r="A11437" s="55"/>
      <c r="B11437"/>
    </row>
    <row r="11438" spans="1:2">
      <c r="A11438" s="55"/>
      <c r="B11438"/>
    </row>
    <row r="11439" spans="1:2">
      <c r="A11439" s="55"/>
      <c r="B11439"/>
    </row>
    <row r="11440" spans="1:2">
      <c r="A11440" s="55"/>
      <c r="B11440"/>
    </row>
    <row r="11441" spans="1:2">
      <c r="A11441" s="55"/>
      <c r="B11441"/>
    </row>
    <row r="11442" spans="1:2">
      <c r="A11442" s="55"/>
      <c r="B11442"/>
    </row>
    <row r="11443" spans="1:2">
      <c r="A11443" s="55"/>
      <c r="B11443"/>
    </row>
    <row r="11444" spans="1:2">
      <c r="A11444" s="55"/>
      <c r="B11444"/>
    </row>
    <row r="11445" spans="1:2">
      <c r="A11445" s="55"/>
      <c r="B11445"/>
    </row>
    <row r="11446" spans="1:2">
      <c r="A11446" s="55"/>
      <c r="B11446"/>
    </row>
    <row r="11447" spans="1:2">
      <c r="A11447" s="55"/>
      <c r="B11447"/>
    </row>
    <row r="11448" spans="1:2">
      <c r="A11448" s="55"/>
      <c r="B11448"/>
    </row>
    <row r="11449" spans="1:2">
      <c r="A11449" s="55"/>
      <c r="B11449"/>
    </row>
    <row r="11450" spans="1:2">
      <c r="A11450" s="55"/>
      <c r="B11450"/>
    </row>
    <row r="11451" spans="1:2">
      <c r="A11451" s="55"/>
      <c r="B11451"/>
    </row>
    <row r="11452" spans="1:2">
      <c r="A11452" s="55"/>
      <c r="B11452"/>
    </row>
    <row r="11453" spans="1:2">
      <c r="A11453" s="55"/>
      <c r="B11453"/>
    </row>
    <row r="11454" spans="1:2">
      <c r="A11454" s="55"/>
      <c r="B11454"/>
    </row>
    <row r="11455" spans="1:2">
      <c r="A11455" s="55"/>
      <c r="B11455"/>
    </row>
    <row r="11456" spans="1:2">
      <c r="A11456" s="55"/>
      <c r="B11456"/>
    </row>
    <row r="11457" spans="1:2">
      <c r="A11457" s="55"/>
      <c r="B11457"/>
    </row>
    <row r="11458" spans="1:2">
      <c r="A11458" s="55"/>
      <c r="B11458"/>
    </row>
    <row r="11459" spans="1:2">
      <c r="A11459" s="55"/>
      <c r="B11459"/>
    </row>
    <row r="11460" spans="1:2">
      <c r="A11460" s="55"/>
      <c r="B11460"/>
    </row>
    <row r="11461" spans="1:2">
      <c r="A11461" s="55"/>
      <c r="B11461"/>
    </row>
    <row r="11462" spans="1:2">
      <c r="A11462" s="55"/>
      <c r="B11462"/>
    </row>
    <row r="11463" spans="1:2">
      <c r="A11463" s="55"/>
      <c r="B11463"/>
    </row>
    <row r="11464" spans="1:2">
      <c r="A11464" s="55"/>
      <c r="B11464"/>
    </row>
    <row r="11465" spans="1:2">
      <c r="A11465" s="55"/>
      <c r="B11465"/>
    </row>
    <row r="11466" spans="1:2">
      <c r="A11466" s="55"/>
      <c r="B11466"/>
    </row>
    <row r="11467" spans="1:2">
      <c r="A11467" s="55"/>
      <c r="B11467"/>
    </row>
    <row r="11468" spans="1:2">
      <c r="A11468" s="55"/>
      <c r="B11468"/>
    </row>
    <row r="11469" spans="1:2">
      <c r="A11469" s="55"/>
      <c r="B11469"/>
    </row>
    <row r="11470" spans="1:2">
      <c r="A11470" s="55"/>
      <c r="B11470"/>
    </row>
    <row r="11471" spans="1:2">
      <c r="A11471" s="55"/>
      <c r="B11471"/>
    </row>
    <row r="11472" spans="1:2">
      <c r="A11472" s="55"/>
      <c r="B11472"/>
    </row>
    <row r="11473" spans="1:2">
      <c r="A11473" s="55"/>
      <c r="B11473"/>
    </row>
    <row r="11474" spans="1:2">
      <c r="A11474" s="55"/>
      <c r="B11474"/>
    </row>
    <row r="11475" spans="1:2">
      <c r="A11475" s="55"/>
      <c r="B11475"/>
    </row>
    <row r="11476" spans="1:2">
      <c r="A11476" s="55"/>
      <c r="B11476"/>
    </row>
    <row r="11477" spans="1:2">
      <c r="A11477" s="55"/>
      <c r="B11477"/>
    </row>
    <row r="11478" spans="1:2">
      <c r="A11478" s="55"/>
      <c r="B11478"/>
    </row>
    <row r="11479" spans="1:2">
      <c r="A11479" s="55"/>
      <c r="B11479"/>
    </row>
    <row r="11480" spans="1:2">
      <c r="A11480" s="55"/>
      <c r="B11480"/>
    </row>
    <row r="11481" spans="1:2">
      <c r="A11481" s="55"/>
      <c r="B11481"/>
    </row>
    <row r="11482" spans="1:2">
      <c r="A11482" s="55"/>
      <c r="B11482"/>
    </row>
    <row r="11483" spans="1:2">
      <c r="A11483" s="55"/>
      <c r="B11483"/>
    </row>
    <row r="11484" spans="1:2">
      <c r="A11484" s="55"/>
      <c r="B11484"/>
    </row>
    <row r="11485" spans="1:2">
      <c r="A11485" s="55"/>
      <c r="B11485"/>
    </row>
    <row r="11486" spans="1:2">
      <c r="A11486" s="55"/>
      <c r="B11486"/>
    </row>
    <row r="11487" spans="1:2">
      <c r="A11487" s="55"/>
      <c r="B11487"/>
    </row>
    <row r="11488" spans="1:2">
      <c r="A11488" s="55"/>
      <c r="B11488"/>
    </row>
    <row r="11489" spans="1:2">
      <c r="A11489" s="55"/>
      <c r="B11489"/>
    </row>
    <row r="11490" spans="1:2">
      <c r="A11490" s="55"/>
      <c r="B11490"/>
    </row>
    <row r="11491" spans="1:2">
      <c r="A11491" s="55"/>
      <c r="B11491"/>
    </row>
    <row r="11492" spans="1:2">
      <c r="A11492" s="55"/>
      <c r="B11492"/>
    </row>
    <row r="11493" spans="1:2">
      <c r="A11493" s="55"/>
      <c r="B11493"/>
    </row>
    <row r="11494" spans="1:2">
      <c r="A11494" s="55"/>
      <c r="B11494"/>
    </row>
    <row r="11495" spans="1:2">
      <c r="A11495" s="55"/>
      <c r="B11495"/>
    </row>
    <row r="11496" spans="1:2">
      <c r="A11496" s="55"/>
      <c r="B11496"/>
    </row>
    <row r="11497" spans="1:2">
      <c r="A11497" s="55"/>
      <c r="B11497"/>
    </row>
    <row r="11498" spans="1:2">
      <c r="A11498" s="55"/>
      <c r="B11498"/>
    </row>
    <row r="11499" spans="1:2">
      <c r="A11499" s="55"/>
      <c r="B11499"/>
    </row>
    <row r="11500" spans="1:2">
      <c r="A11500" s="55"/>
      <c r="B11500"/>
    </row>
    <row r="11501" spans="1:2">
      <c r="A11501" s="55"/>
      <c r="B11501"/>
    </row>
    <row r="11502" spans="1:2">
      <c r="A11502" s="55"/>
      <c r="B11502"/>
    </row>
    <row r="11503" spans="1:2">
      <c r="A11503" s="55"/>
      <c r="B11503"/>
    </row>
    <row r="11504" spans="1:2">
      <c r="A11504" s="55"/>
      <c r="B11504"/>
    </row>
    <row r="11505" spans="1:2">
      <c r="A11505" s="55"/>
      <c r="B11505"/>
    </row>
    <row r="11506" spans="1:2">
      <c r="A11506" s="55"/>
      <c r="B11506"/>
    </row>
    <row r="11507" spans="1:2">
      <c r="A11507" s="55"/>
      <c r="B11507"/>
    </row>
    <row r="11508" spans="1:2">
      <c r="A11508" s="55"/>
      <c r="B11508"/>
    </row>
    <row r="11509" spans="1:2">
      <c r="A11509" s="55"/>
      <c r="B11509"/>
    </row>
    <row r="11510" spans="1:2">
      <c r="A11510" s="55"/>
      <c r="B11510"/>
    </row>
    <row r="11511" spans="1:2">
      <c r="A11511" s="55"/>
      <c r="B11511"/>
    </row>
    <row r="11512" spans="1:2">
      <c r="A11512" s="55"/>
      <c r="B11512"/>
    </row>
    <row r="11513" spans="1:2">
      <c r="A11513" s="55"/>
      <c r="B11513"/>
    </row>
    <row r="11514" spans="1:2">
      <c r="A11514" s="55"/>
      <c r="B11514"/>
    </row>
    <row r="11515" spans="1:2">
      <c r="A11515" s="55"/>
      <c r="B11515"/>
    </row>
    <row r="11516" spans="1:2">
      <c r="A11516" s="55"/>
      <c r="B11516"/>
    </row>
    <row r="11517" spans="1:2">
      <c r="A11517" s="55"/>
      <c r="B11517"/>
    </row>
    <row r="11518" spans="1:2">
      <c r="A11518" s="55"/>
      <c r="B11518"/>
    </row>
    <row r="11519" spans="1:2">
      <c r="A11519" s="55"/>
      <c r="B11519"/>
    </row>
    <row r="11520" spans="1:2">
      <c r="A11520" s="55"/>
      <c r="B11520"/>
    </row>
    <row r="11521" spans="1:2">
      <c r="A11521" s="55"/>
      <c r="B11521"/>
    </row>
    <row r="11522" spans="1:2">
      <c r="A11522" s="55"/>
      <c r="B11522"/>
    </row>
    <row r="11523" spans="1:2">
      <c r="A11523" s="55"/>
      <c r="B11523"/>
    </row>
    <row r="11524" spans="1:2">
      <c r="A11524" s="55"/>
      <c r="B11524"/>
    </row>
    <row r="11525" spans="1:2">
      <c r="A11525" s="55"/>
      <c r="B11525"/>
    </row>
    <row r="11526" spans="1:2">
      <c r="A11526" s="55"/>
      <c r="B11526"/>
    </row>
    <row r="11527" spans="1:2">
      <c r="A11527" s="55"/>
      <c r="B11527"/>
    </row>
    <row r="11528" spans="1:2">
      <c r="A11528" s="55"/>
      <c r="B11528"/>
    </row>
    <row r="11529" spans="1:2">
      <c r="A11529" s="55"/>
      <c r="B11529"/>
    </row>
    <row r="11530" spans="1:2">
      <c r="A11530" s="55"/>
      <c r="B11530"/>
    </row>
    <row r="11531" spans="1:2">
      <c r="A11531" s="55"/>
      <c r="B11531"/>
    </row>
    <row r="11532" spans="1:2">
      <c r="A11532" s="55"/>
      <c r="B11532"/>
    </row>
    <row r="11533" spans="1:2">
      <c r="A11533" s="55"/>
      <c r="B11533"/>
    </row>
    <row r="11534" spans="1:2">
      <c r="A11534" s="55"/>
      <c r="B11534"/>
    </row>
    <row r="11535" spans="1:2">
      <c r="A11535" s="55"/>
      <c r="B11535"/>
    </row>
    <row r="11536" spans="1:2">
      <c r="A11536" s="55"/>
      <c r="B11536"/>
    </row>
    <row r="11537" spans="1:2">
      <c r="A11537" s="55"/>
      <c r="B11537"/>
    </row>
    <row r="11538" spans="1:2">
      <c r="A11538" s="55"/>
      <c r="B11538"/>
    </row>
    <row r="11539" spans="1:2">
      <c r="A11539" s="55"/>
      <c r="B11539"/>
    </row>
    <row r="11540" spans="1:2">
      <c r="A11540" s="55"/>
      <c r="B11540"/>
    </row>
    <row r="11541" spans="1:2">
      <c r="A11541" s="55"/>
      <c r="B11541"/>
    </row>
    <row r="11542" spans="1:2">
      <c r="A11542" s="55"/>
      <c r="B11542"/>
    </row>
    <row r="11543" spans="1:2">
      <c r="A11543" s="55"/>
      <c r="B11543"/>
    </row>
    <row r="11544" spans="1:2">
      <c r="A11544" s="55"/>
      <c r="B11544"/>
    </row>
    <row r="11545" spans="1:2">
      <c r="A11545" s="55"/>
      <c r="B11545"/>
    </row>
    <row r="11546" spans="1:2">
      <c r="A11546" s="55"/>
      <c r="B11546"/>
    </row>
    <row r="11547" spans="1:2">
      <c r="A11547" s="55"/>
      <c r="B11547"/>
    </row>
    <row r="11548" spans="1:2">
      <c r="A11548" s="55"/>
      <c r="B11548"/>
    </row>
    <row r="11549" spans="1:2">
      <c r="A11549" s="55"/>
      <c r="B11549"/>
    </row>
    <row r="11550" spans="1:2">
      <c r="A11550" s="55"/>
      <c r="B11550"/>
    </row>
    <row r="11551" spans="1:2">
      <c r="A11551" s="55"/>
      <c r="B11551"/>
    </row>
    <row r="11552" spans="1:2">
      <c r="A11552" s="55"/>
      <c r="B11552"/>
    </row>
    <row r="11553" spans="1:2">
      <c r="A11553" s="55"/>
      <c r="B11553"/>
    </row>
    <row r="11554" spans="1:2">
      <c r="A11554" s="55"/>
      <c r="B11554"/>
    </row>
    <row r="11555" spans="1:2">
      <c r="A11555" s="55"/>
      <c r="B11555"/>
    </row>
    <row r="11556" spans="1:2">
      <c r="A11556" s="55"/>
      <c r="B11556"/>
    </row>
    <row r="11557" spans="1:2">
      <c r="A11557" s="55"/>
      <c r="B11557"/>
    </row>
    <row r="11558" spans="1:2">
      <c r="A11558" s="55"/>
      <c r="B11558"/>
    </row>
    <row r="11559" spans="1:2">
      <c r="A11559" s="55"/>
      <c r="B11559"/>
    </row>
    <row r="11560" spans="1:2">
      <c r="A11560" s="55"/>
      <c r="B11560"/>
    </row>
    <row r="11561" spans="1:2">
      <c r="A11561" s="55"/>
      <c r="B11561"/>
    </row>
    <row r="11562" spans="1:2">
      <c r="A11562" s="55"/>
      <c r="B11562"/>
    </row>
    <row r="11563" spans="1:2">
      <c r="A11563" s="55"/>
      <c r="B11563"/>
    </row>
    <row r="11564" spans="1:2">
      <c r="A11564" s="55"/>
      <c r="B11564"/>
    </row>
    <row r="11565" spans="1:2">
      <c r="A11565" s="55"/>
      <c r="B11565"/>
    </row>
    <row r="11566" spans="1:2">
      <c r="A11566" s="55"/>
      <c r="B11566"/>
    </row>
    <row r="11567" spans="1:2">
      <c r="A11567" s="55"/>
      <c r="B11567"/>
    </row>
    <row r="11568" spans="1:2">
      <c r="A11568" s="55"/>
      <c r="B11568"/>
    </row>
    <row r="11569" spans="1:2">
      <c r="A11569" s="55"/>
      <c r="B11569"/>
    </row>
    <row r="11570" spans="1:2">
      <c r="A11570" s="55"/>
      <c r="B11570"/>
    </row>
    <row r="11571" spans="1:2">
      <c r="A11571" s="55"/>
      <c r="B11571"/>
    </row>
    <row r="11572" spans="1:2">
      <c r="A11572" s="55"/>
      <c r="B11572"/>
    </row>
    <row r="11573" spans="1:2">
      <c r="A11573" s="55"/>
      <c r="B11573"/>
    </row>
    <row r="11574" spans="1:2">
      <c r="A11574" s="55"/>
      <c r="B11574"/>
    </row>
    <row r="11575" spans="1:2">
      <c r="A11575" s="55"/>
      <c r="B11575"/>
    </row>
    <row r="11576" spans="1:2">
      <c r="A11576" s="55"/>
      <c r="B11576"/>
    </row>
    <row r="11577" spans="1:2">
      <c r="A11577" s="55"/>
      <c r="B11577"/>
    </row>
    <row r="11578" spans="1:2">
      <c r="A11578" s="55"/>
      <c r="B11578"/>
    </row>
    <row r="11579" spans="1:2">
      <c r="A11579" s="55"/>
      <c r="B11579"/>
    </row>
    <row r="11580" spans="1:2">
      <c r="A11580" s="55"/>
      <c r="B11580"/>
    </row>
    <row r="11581" spans="1:2">
      <c r="A11581" s="55"/>
      <c r="B11581"/>
    </row>
    <row r="11582" spans="1:2">
      <c r="A11582" s="55"/>
      <c r="B11582"/>
    </row>
    <row r="11583" spans="1:2">
      <c r="A11583" s="55"/>
      <c r="B11583"/>
    </row>
    <row r="11584" spans="1:2">
      <c r="A11584" s="55"/>
      <c r="B11584"/>
    </row>
    <row r="11585" spans="1:2">
      <c r="A11585" s="55"/>
      <c r="B11585"/>
    </row>
    <row r="11586" spans="1:2">
      <c r="A11586" s="55"/>
      <c r="B11586"/>
    </row>
    <row r="11587" spans="1:2">
      <c r="A11587" s="55"/>
      <c r="B11587"/>
    </row>
    <row r="11588" spans="1:2">
      <c r="A11588" s="55"/>
      <c r="B11588"/>
    </row>
    <row r="11589" spans="1:2">
      <c r="A11589" s="55"/>
      <c r="B11589"/>
    </row>
    <row r="11590" spans="1:2">
      <c r="A11590" s="55"/>
      <c r="B11590"/>
    </row>
    <row r="11591" spans="1:2">
      <c r="A11591" s="55"/>
      <c r="B11591"/>
    </row>
    <row r="11592" spans="1:2">
      <c r="A11592" s="55"/>
      <c r="B11592"/>
    </row>
    <row r="11593" spans="1:2">
      <c r="A11593" s="55"/>
      <c r="B11593"/>
    </row>
    <row r="11594" spans="1:2">
      <c r="A11594" s="55"/>
      <c r="B11594"/>
    </row>
    <row r="11595" spans="1:2">
      <c r="A11595" s="55"/>
      <c r="B11595"/>
    </row>
    <row r="11596" spans="1:2">
      <c r="A11596" s="55"/>
      <c r="B11596"/>
    </row>
    <row r="11597" spans="1:2">
      <c r="A11597" s="55"/>
      <c r="B11597"/>
    </row>
    <row r="11598" spans="1:2">
      <c r="A11598" s="55"/>
      <c r="B11598"/>
    </row>
    <row r="11599" spans="1:2">
      <c r="A11599" s="55"/>
      <c r="B11599"/>
    </row>
    <row r="11600" spans="1:2">
      <c r="A11600" s="55"/>
      <c r="B11600"/>
    </row>
    <row r="11601" spans="1:2">
      <c r="A11601" s="55"/>
      <c r="B11601"/>
    </row>
    <row r="11602" spans="1:2">
      <c r="A11602" s="55"/>
      <c r="B11602"/>
    </row>
    <row r="11603" spans="1:2">
      <c r="A11603" s="55"/>
      <c r="B11603"/>
    </row>
    <row r="11604" spans="1:2">
      <c r="A11604" s="55"/>
      <c r="B11604"/>
    </row>
    <row r="11605" spans="1:2">
      <c r="A11605" s="55"/>
      <c r="B11605"/>
    </row>
    <row r="11606" spans="1:2">
      <c r="A11606" s="55"/>
      <c r="B11606"/>
    </row>
    <row r="11607" spans="1:2">
      <c r="A11607" s="55"/>
      <c r="B11607"/>
    </row>
    <row r="11608" spans="1:2">
      <c r="A11608" s="55"/>
      <c r="B11608"/>
    </row>
    <row r="11609" spans="1:2">
      <c r="A11609" s="55"/>
      <c r="B11609"/>
    </row>
    <row r="11610" spans="1:2">
      <c r="A11610" s="55"/>
      <c r="B11610"/>
    </row>
    <row r="11611" spans="1:2">
      <c r="A11611" s="55"/>
      <c r="B11611"/>
    </row>
    <row r="11612" spans="1:2">
      <c r="A11612" s="55"/>
      <c r="B11612"/>
    </row>
    <row r="11613" spans="1:2">
      <c r="A11613" s="55"/>
      <c r="B11613"/>
    </row>
    <row r="11614" spans="1:2">
      <c r="A11614" s="55"/>
      <c r="B11614"/>
    </row>
    <row r="11615" spans="1:2">
      <c r="A11615" s="55"/>
      <c r="B11615"/>
    </row>
    <row r="11616" spans="1:2">
      <c r="A11616" s="55"/>
      <c r="B11616"/>
    </row>
    <row r="11617" spans="1:2">
      <c r="A11617" s="55"/>
      <c r="B11617"/>
    </row>
    <row r="11618" spans="1:2">
      <c r="A11618" s="55"/>
      <c r="B11618"/>
    </row>
    <row r="11619" spans="1:2">
      <c r="A11619" s="55"/>
      <c r="B11619"/>
    </row>
    <row r="11620" spans="1:2">
      <c r="A11620" s="55"/>
      <c r="B11620"/>
    </row>
    <row r="11621" spans="1:2">
      <c r="A11621" s="55"/>
      <c r="B11621"/>
    </row>
    <row r="11622" spans="1:2">
      <c r="A11622" s="55"/>
      <c r="B11622"/>
    </row>
    <row r="11623" spans="1:2">
      <c r="A11623" s="55"/>
      <c r="B11623"/>
    </row>
    <row r="11624" spans="1:2">
      <c r="A11624" s="55"/>
      <c r="B11624"/>
    </row>
    <row r="11625" spans="1:2">
      <c r="A11625" s="55"/>
      <c r="B11625"/>
    </row>
    <row r="11626" spans="1:2">
      <c r="A11626" s="55"/>
      <c r="B11626"/>
    </row>
    <row r="11627" spans="1:2">
      <c r="A11627" s="55"/>
      <c r="B11627"/>
    </row>
    <row r="11628" spans="1:2">
      <c r="A11628" s="55"/>
      <c r="B11628"/>
    </row>
    <row r="11629" spans="1:2">
      <c r="A11629" s="55"/>
      <c r="B11629"/>
    </row>
    <row r="11630" spans="1:2">
      <c r="A11630" s="55"/>
      <c r="B11630"/>
    </row>
    <row r="11631" spans="1:2">
      <c r="A11631" s="55"/>
      <c r="B11631"/>
    </row>
    <row r="11632" spans="1:2">
      <c r="A11632" s="55"/>
      <c r="B11632"/>
    </row>
    <row r="11633" spans="1:2">
      <c r="A11633" s="55"/>
      <c r="B11633"/>
    </row>
    <row r="11634" spans="1:2">
      <c r="A11634" s="55"/>
      <c r="B11634"/>
    </row>
    <row r="11635" spans="1:2">
      <c r="A11635" s="55"/>
      <c r="B11635"/>
    </row>
    <row r="11636" spans="1:2">
      <c r="A11636" s="55"/>
      <c r="B11636"/>
    </row>
    <row r="11637" spans="1:2">
      <c r="A11637" s="55"/>
      <c r="B11637"/>
    </row>
    <row r="11638" spans="1:2">
      <c r="A11638" s="55"/>
      <c r="B11638"/>
    </row>
    <row r="11639" spans="1:2">
      <c r="A11639" s="55"/>
      <c r="B11639"/>
    </row>
    <row r="11640" spans="1:2">
      <c r="A11640" s="55"/>
      <c r="B11640"/>
    </row>
    <row r="11641" spans="1:2">
      <c r="A11641" s="55"/>
      <c r="B11641"/>
    </row>
    <row r="11642" spans="1:2">
      <c r="A11642" s="55"/>
      <c r="B11642"/>
    </row>
    <row r="11643" spans="1:2">
      <c r="A11643" s="55"/>
      <c r="B11643"/>
    </row>
    <row r="11644" spans="1:2">
      <c r="A11644" s="55"/>
      <c r="B11644"/>
    </row>
    <row r="11645" spans="1:2">
      <c r="A11645" s="55"/>
      <c r="B11645"/>
    </row>
    <row r="11646" spans="1:2">
      <c r="A11646" s="55"/>
      <c r="B11646"/>
    </row>
    <row r="11647" spans="1:2">
      <c r="A11647" s="55"/>
      <c r="B11647"/>
    </row>
    <row r="11648" spans="1:2">
      <c r="A11648" s="55"/>
      <c r="B11648"/>
    </row>
    <row r="11649" spans="1:2">
      <c r="A11649" s="55"/>
      <c r="B11649"/>
    </row>
    <row r="11650" spans="1:2">
      <c r="A11650" s="55"/>
      <c r="B11650"/>
    </row>
    <row r="11651" spans="1:2">
      <c r="A11651" s="55"/>
      <c r="B11651"/>
    </row>
    <row r="11652" spans="1:2">
      <c r="A11652" s="55"/>
      <c r="B11652"/>
    </row>
    <row r="11653" spans="1:2">
      <c r="A11653" s="55"/>
      <c r="B11653"/>
    </row>
    <row r="11654" spans="1:2">
      <c r="A11654" s="55"/>
      <c r="B11654"/>
    </row>
    <row r="11655" spans="1:2">
      <c r="A11655" s="55"/>
      <c r="B11655"/>
    </row>
    <row r="11656" spans="1:2">
      <c r="A11656" s="55"/>
      <c r="B11656"/>
    </row>
    <row r="11657" spans="1:2">
      <c r="A11657" s="55"/>
      <c r="B11657"/>
    </row>
    <row r="11658" spans="1:2">
      <c r="A11658" s="55"/>
      <c r="B11658"/>
    </row>
    <row r="11659" spans="1:2">
      <c r="A11659" s="55"/>
      <c r="B11659"/>
    </row>
    <row r="11660" spans="1:2">
      <c r="A11660" s="55"/>
      <c r="B11660"/>
    </row>
    <row r="11661" spans="1:2">
      <c r="A11661" s="55"/>
      <c r="B11661"/>
    </row>
    <row r="11662" spans="1:2">
      <c r="A11662" s="55"/>
      <c r="B11662"/>
    </row>
    <row r="11663" spans="1:2">
      <c r="A11663" s="55"/>
      <c r="B11663"/>
    </row>
    <row r="11664" spans="1:2">
      <c r="A11664" s="55"/>
      <c r="B11664"/>
    </row>
    <row r="11665" spans="1:2">
      <c r="A11665" s="55"/>
      <c r="B11665"/>
    </row>
    <row r="11666" spans="1:2">
      <c r="A11666" s="55"/>
      <c r="B11666"/>
    </row>
    <row r="11667" spans="1:2">
      <c r="A11667" s="55"/>
      <c r="B11667"/>
    </row>
    <row r="11668" spans="1:2">
      <c r="A11668" s="55"/>
      <c r="B11668"/>
    </row>
    <row r="11669" spans="1:2">
      <c r="A11669" s="55"/>
      <c r="B11669"/>
    </row>
    <row r="11670" spans="1:2">
      <c r="A11670" s="55"/>
      <c r="B11670"/>
    </row>
    <row r="11671" spans="1:2">
      <c r="A11671" s="55"/>
      <c r="B11671"/>
    </row>
    <row r="11672" spans="1:2">
      <c r="A11672" s="55"/>
      <c r="B11672"/>
    </row>
    <row r="11673" spans="1:2">
      <c r="A11673" s="55"/>
      <c r="B11673"/>
    </row>
    <row r="11674" spans="1:2">
      <c r="A11674" s="55"/>
      <c r="B11674"/>
    </row>
    <row r="11675" spans="1:2">
      <c r="A11675" s="55"/>
      <c r="B11675"/>
    </row>
    <row r="11676" spans="1:2">
      <c r="A11676" s="55"/>
      <c r="B11676"/>
    </row>
    <row r="11677" spans="1:2">
      <c r="A11677" s="55"/>
      <c r="B11677"/>
    </row>
    <row r="11678" spans="1:2">
      <c r="A11678" s="55"/>
      <c r="B11678"/>
    </row>
    <row r="11679" spans="1:2">
      <c r="A11679" s="55"/>
      <c r="B11679"/>
    </row>
    <row r="11680" spans="1:2">
      <c r="A11680" s="55"/>
      <c r="B11680"/>
    </row>
    <row r="11681" spans="1:2">
      <c r="A11681" s="55"/>
      <c r="B11681"/>
    </row>
    <row r="11682" spans="1:2">
      <c r="A11682" s="55"/>
      <c r="B11682"/>
    </row>
    <row r="11683" spans="1:2">
      <c r="A11683" s="55"/>
      <c r="B11683"/>
    </row>
    <row r="11684" spans="1:2">
      <c r="A11684" s="55"/>
      <c r="B11684"/>
    </row>
    <row r="11685" spans="1:2">
      <c r="A11685" s="55"/>
      <c r="B11685"/>
    </row>
    <row r="11686" spans="1:2">
      <c r="A11686" s="55"/>
      <c r="B11686"/>
    </row>
    <row r="11687" spans="1:2">
      <c r="A11687" s="55"/>
      <c r="B11687"/>
    </row>
    <row r="11688" spans="1:2">
      <c r="A11688" s="55"/>
      <c r="B11688"/>
    </row>
    <row r="11689" spans="1:2">
      <c r="A11689" s="55"/>
      <c r="B11689"/>
    </row>
    <row r="11690" spans="1:2">
      <c r="A11690" s="55"/>
      <c r="B11690"/>
    </row>
    <row r="11691" spans="1:2">
      <c r="A11691" s="55"/>
      <c r="B11691"/>
    </row>
    <row r="11692" spans="1:2">
      <c r="A11692" s="55"/>
      <c r="B11692"/>
    </row>
    <row r="11693" spans="1:2">
      <c r="A11693" s="55"/>
      <c r="B11693"/>
    </row>
    <row r="11694" spans="1:2">
      <c r="A11694" s="55"/>
      <c r="B11694"/>
    </row>
    <row r="11695" spans="1:2">
      <c r="A11695" s="55"/>
      <c r="B11695"/>
    </row>
    <row r="11696" spans="1:2">
      <c r="A11696" s="55"/>
      <c r="B11696"/>
    </row>
    <row r="11697" spans="1:2">
      <c r="A11697" s="55"/>
      <c r="B11697"/>
    </row>
    <row r="11698" spans="1:2">
      <c r="A11698" s="55"/>
      <c r="B11698"/>
    </row>
    <row r="11699" spans="1:2">
      <c r="A11699" s="55"/>
      <c r="B11699"/>
    </row>
    <row r="11700" spans="1:2">
      <c r="A11700" s="55"/>
      <c r="B11700"/>
    </row>
    <row r="11701" spans="1:2">
      <c r="A11701" s="55"/>
      <c r="B11701"/>
    </row>
    <row r="11702" spans="1:2">
      <c r="A11702" s="55"/>
      <c r="B11702"/>
    </row>
    <row r="11703" spans="1:2">
      <c r="A11703" s="55"/>
      <c r="B11703"/>
    </row>
    <row r="11704" spans="1:2">
      <c r="A11704" s="55"/>
      <c r="B11704"/>
    </row>
    <row r="11705" spans="1:2">
      <c r="A11705" s="55"/>
      <c r="B11705"/>
    </row>
    <row r="11706" spans="1:2">
      <c r="A11706" s="55"/>
      <c r="B11706"/>
    </row>
    <row r="11707" spans="1:2">
      <c r="A11707" s="55"/>
      <c r="B11707"/>
    </row>
    <row r="11708" spans="1:2">
      <c r="A11708" s="55"/>
      <c r="B11708"/>
    </row>
    <row r="11709" spans="1:2">
      <c r="A11709" s="55"/>
      <c r="B11709"/>
    </row>
    <row r="11710" spans="1:2">
      <c r="A11710" s="55"/>
      <c r="B11710"/>
    </row>
    <row r="11711" spans="1:2">
      <c r="A11711" s="55"/>
      <c r="B11711"/>
    </row>
    <row r="11712" spans="1:2">
      <c r="A11712" s="55"/>
      <c r="B11712"/>
    </row>
    <row r="11713" spans="1:2">
      <c r="A11713" s="55"/>
      <c r="B11713"/>
    </row>
    <row r="11714" spans="1:2">
      <c r="A11714" s="55"/>
      <c r="B11714"/>
    </row>
    <row r="11715" spans="1:2">
      <c r="A11715" s="55"/>
      <c r="B11715"/>
    </row>
    <row r="11716" spans="1:2">
      <c r="A11716" s="55"/>
      <c r="B11716"/>
    </row>
    <row r="11717" spans="1:2">
      <c r="A11717" s="55"/>
      <c r="B11717"/>
    </row>
    <row r="11718" spans="1:2">
      <c r="A11718" s="55"/>
      <c r="B11718"/>
    </row>
    <row r="11719" spans="1:2">
      <c r="A11719" s="55"/>
      <c r="B11719"/>
    </row>
    <row r="11720" spans="1:2">
      <c r="A11720" s="55"/>
      <c r="B11720"/>
    </row>
    <row r="11721" spans="1:2">
      <c r="A11721" s="55"/>
      <c r="B11721"/>
    </row>
    <row r="11722" spans="1:2">
      <c r="A11722" s="55"/>
      <c r="B11722"/>
    </row>
    <row r="11723" spans="1:2">
      <c r="A11723" s="55"/>
      <c r="B11723"/>
    </row>
    <row r="11724" spans="1:2">
      <c r="A11724" s="55"/>
      <c r="B11724"/>
    </row>
    <row r="11725" spans="1:2">
      <c r="A11725" s="55"/>
      <c r="B11725"/>
    </row>
    <row r="11726" spans="1:2">
      <c r="A11726" s="55"/>
      <c r="B11726"/>
    </row>
    <row r="11727" spans="1:2">
      <c r="A11727" s="55"/>
      <c r="B11727"/>
    </row>
    <row r="11728" spans="1:2">
      <c r="A11728" s="55"/>
      <c r="B11728"/>
    </row>
    <row r="11729" spans="1:2">
      <c r="A11729" s="55"/>
      <c r="B11729"/>
    </row>
    <row r="11730" spans="1:2">
      <c r="A11730" s="55"/>
      <c r="B11730"/>
    </row>
    <row r="11731" spans="1:2">
      <c r="A11731" s="55"/>
      <c r="B11731"/>
    </row>
    <row r="11732" spans="1:2">
      <c r="A11732" s="55"/>
      <c r="B11732"/>
    </row>
    <row r="11733" spans="1:2">
      <c r="A11733" s="55"/>
      <c r="B11733"/>
    </row>
    <row r="11734" spans="1:2">
      <c r="A11734" s="55"/>
      <c r="B11734"/>
    </row>
    <row r="11735" spans="1:2">
      <c r="A11735" s="55"/>
      <c r="B11735"/>
    </row>
    <row r="11736" spans="1:2">
      <c r="A11736" s="55"/>
      <c r="B11736"/>
    </row>
    <row r="11737" spans="1:2">
      <c r="A11737" s="55"/>
      <c r="B11737"/>
    </row>
    <row r="11738" spans="1:2">
      <c r="A11738" s="55"/>
      <c r="B11738"/>
    </row>
    <row r="11739" spans="1:2">
      <c r="A11739" s="55"/>
      <c r="B11739"/>
    </row>
    <row r="11740" spans="1:2">
      <c r="A11740" s="55"/>
      <c r="B11740"/>
    </row>
    <row r="11741" spans="1:2">
      <c r="A11741" s="55"/>
      <c r="B11741"/>
    </row>
    <row r="11742" spans="1:2">
      <c r="A11742" s="55"/>
      <c r="B11742"/>
    </row>
    <row r="11743" spans="1:2">
      <c r="A11743" s="55"/>
      <c r="B11743"/>
    </row>
    <row r="11744" spans="1:2">
      <c r="A11744" s="55"/>
      <c r="B11744"/>
    </row>
    <row r="11745" spans="1:2">
      <c r="A11745" s="55"/>
      <c r="B11745"/>
    </row>
    <row r="11746" spans="1:2">
      <c r="A11746" s="55"/>
      <c r="B11746"/>
    </row>
    <row r="11747" spans="1:2">
      <c r="A11747" s="55"/>
      <c r="B11747"/>
    </row>
    <row r="11748" spans="1:2">
      <c r="A11748" s="55"/>
      <c r="B11748"/>
    </row>
    <row r="11749" spans="1:2">
      <c r="A11749" s="55"/>
      <c r="B11749"/>
    </row>
    <row r="11750" spans="1:2">
      <c r="A11750" s="55"/>
      <c r="B11750"/>
    </row>
    <row r="11751" spans="1:2">
      <c r="A11751" s="55"/>
      <c r="B11751"/>
    </row>
    <row r="11752" spans="1:2">
      <c r="A11752" s="55"/>
      <c r="B11752"/>
    </row>
    <row r="11753" spans="1:2">
      <c r="A11753" s="55"/>
      <c r="B11753"/>
    </row>
    <row r="11754" spans="1:2">
      <c r="A11754" s="55"/>
      <c r="B11754"/>
    </row>
    <row r="11755" spans="1:2">
      <c r="A11755" s="55"/>
      <c r="B11755"/>
    </row>
    <row r="11756" spans="1:2">
      <c r="A11756" s="55"/>
      <c r="B11756"/>
    </row>
    <row r="11757" spans="1:2">
      <c r="A11757" s="55"/>
      <c r="B11757"/>
    </row>
    <row r="11758" spans="1:2">
      <c r="A11758" s="55"/>
      <c r="B11758"/>
    </row>
    <row r="11759" spans="1:2">
      <c r="A11759" s="55"/>
      <c r="B11759"/>
    </row>
    <row r="11760" spans="1:2">
      <c r="A11760" s="55"/>
      <c r="B11760"/>
    </row>
    <row r="11761" spans="1:2">
      <c r="A11761" s="55"/>
      <c r="B11761"/>
    </row>
    <row r="11762" spans="1:2">
      <c r="A11762" s="55"/>
      <c r="B11762"/>
    </row>
    <row r="11763" spans="1:2">
      <c r="A11763" s="55"/>
      <c r="B11763"/>
    </row>
    <row r="11764" spans="1:2">
      <c r="A11764" s="55"/>
      <c r="B11764"/>
    </row>
    <row r="11765" spans="1:2">
      <c r="A11765" s="55"/>
      <c r="B11765"/>
    </row>
    <row r="11766" spans="1:2">
      <c r="A11766" s="55"/>
      <c r="B11766"/>
    </row>
    <row r="11767" spans="1:2">
      <c r="A11767" s="55"/>
      <c r="B11767"/>
    </row>
    <row r="11768" spans="1:2">
      <c r="A11768" s="55"/>
      <c r="B11768"/>
    </row>
    <row r="11769" spans="1:2">
      <c r="A11769" s="55"/>
      <c r="B11769"/>
    </row>
    <row r="11770" spans="1:2">
      <c r="A11770" s="55"/>
      <c r="B11770"/>
    </row>
    <row r="11771" spans="1:2">
      <c r="A11771" s="55"/>
      <c r="B11771"/>
    </row>
    <row r="11772" spans="1:2">
      <c r="A11772" s="55"/>
      <c r="B11772"/>
    </row>
    <row r="11773" spans="1:2">
      <c r="A11773" s="55"/>
      <c r="B11773"/>
    </row>
    <row r="11774" spans="1:2">
      <c r="A11774" s="55"/>
      <c r="B11774"/>
    </row>
    <row r="11775" spans="1:2">
      <c r="A11775" s="55"/>
      <c r="B11775"/>
    </row>
    <row r="11776" spans="1:2">
      <c r="A11776" s="55"/>
      <c r="B11776"/>
    </row>
    <row r="11777" spans="1:2">
      <c r="A11777" s="55"/>
      <c r="B11777"/>
    </row>
    <row r="11778" spans="1:2">
      <c r="A11778" s="55"/>
      <c r="B11778"/>
    </row>
    <row r="11779" spans="1:2">
      <c r="A11779" s="55"/>
      <c r="B11779"/>
    </row>
    <row r="11780" spans="1:2">
      <c r="A11780" s="55"/>
      <c r="B11780"/>
    </row>
    <row r="11781" spans="1:2">
      <c r="A11781" s="55"/>
      <c r="B11781"/>
    </row>
    <row r="11782" spans="1:2">
      <c r="A11782" s="55"/>
      <c r="B11782"/>
    </row>
    <row r="11783" spans="1:2">
      <c r="A11783" s="55"/>
      <c r="B11783"/>
    </row>
    <row r="11784" spans="1:2">
      <c r="A11784" s="55"/>
      <c r="B11784"/>
    </row>
    <row r="11785" spans="1:2">
      <c r="A11785" s="55"/>
      <c r="B11785"/>
    </row>
    <row r="11786" spans="1:2">
      <c r="A11786" s="55"/>
      <c r="B11786"/>
    </row>
    <row r="11787" spans="1:2">
      <c r="A11787" s="55"/>
      <c r="B11787"/>
    </row>
    <row r="11788" spans="1:2">
      <c r="A11788" s="55"/>
      <c r="B11788"/>
    </row>
    <row r="11789" spans="1:2">
      <c r="A11789" s="55"/>
      <c r="B11789"/>
    </row>
    <row r="11790" spans="1:2">
      <c r="A11790" s="55"/>
      <c r="B11790"/>
    </row>
    <row r="11791" spans="1:2">
      <c r="A11791" s="55"/>
      <c r="B11791"/>
    </row>
    <row r="11792" spans="1:2">
      <c r="A11792" s="55"/>
      <c r="B11792"/>
    </row>
    <row r="11793" spans="1:2">
      <c r="A11793" s="55"/>
      <c r="B11793"/>
    </row>
    <row r="11794" spans="1:2">
      <c r="A11794" s="55"/>
      <c r="B11794"/>
    </row>
    <row r="11795" spans="1:2">
      <c r="A11795" s="55"/>
      <c r="B11795"/>
    </row>
    <row r="11796" spans="1:2">
      <c r="A11796" s="55"/>
      <c r="B11796"/>
    </row>
    <row r="11797" spans="1:2">
      <c r="A11797" s="55"/>
      <c r="B11797"/>
    </row>
    <row r="11798" spans="1:2">
      <c r="A11798" s="55"/>
      <c r="B11798"/>
    </row>
    <row r="11799" spans="1:2">
      <c r="A11799" s="55"/>
      <c r="B11799"/>
    </row>
    <row r="11800" spans="1:2">
      <c r="A11800" s="55"/>
      <c r="B11800"/>
    </row>
    <row r="11801" spans="1:2">
      <c r="A11801" s="55"/>
      <c r="B11801"/>
    </row>
    <row r="11802" spans="1:2">
      <c r="A11802" s="55"/>
      <c r="B11802"/>
    </row>
    <row r="11803" spans="1:2">
      <c r="A11803" s="55"/>
      <c r="B11803"/>
    </row>
    <row r="11804" spans="1:2">
      <c r="A11804" s="55"/>
      <c r="B11804"/>
    </row>
    <row r="11805" spans="1:2">
      <c r="A11805" s="55"/>
      <c r="B11805"/>
    </row>
    <row r="11806" spans="1:2">
      <c r="A11806" s="55"/>
      <c r="B11806"/>
    </row>
    <row r="11807" spans="1:2">
      <c r="A11807" s="55"/>
      <c r="B11807"/>
    </row>
    <row r="11808" spans="1:2">
      <c r="A11808" s="55"/>
      <c r="B11808"/>
    </row>
    <row r="11809" spans="1:2">
      <c r="A11809" s="55"/>
      <c r="B11809"/>
    </row>
    <row r="11810" spans="1:2">
      <c r="A11810" s="55"/>
      <c r="B11810"/>
    </row>
    <row r="11811" spans="1:2">
      <c r="A11811" s="55"/>
      <c r="B11811"/>
    </row>
    <row r="11812" spans="1:2">
      <c r="A11812" s="55"/>
      <c r="B11812"/>
    </row>
    <row r="11813" spans="1:2">
      <c r="A11813" s="55"/>
      <c r="B11813"/>
    </row>
    <row r="11814" spans="1:2">
      <c r="A11814" s="55"/>
      <c r="B11814"/>
    </row>
    <row r="11815" spans="1:2">
      <c r="A11815" s="55"/>
      <c r="B11815"/>
    </row>
    <row r="11816" spans="1:2">
      <c r="A11816" s="55"/>
      <c r="B11816"/>
    </row>
    <row r="11817" spans="1:2">
      <c r="A11817" s="55"/>
      <c r="B11817"/>
    </row>
    <row r="11818" spans="1:2">
      <c r="A11818" s="55"/>
      <c r="B11818"/>
    </row>
    <row r="11819" spans="1:2">
      <c r="A11819" s="55"/>
      <c r="B11819"/>
    </row>
    <row r="11820" spans="1:2">
      <c r="A11820" s="55"/>
      <c r="B11820"/>
    </row>
    <row r="11821" spans="1:2">
      <c r="A11821" s="55"/>
      <c r="B11821"/>
    </row>
    <row r="11822" spans="1:2">
      <c r="A11822" s="55"/>
      <c r="B11822"/>
    </row>
    <row r="11823" spans="1:2">
      <c r="A11823" s="55"/>
      <c r="B11823"/>
    </row>
    <row r="11824" spans="1:2">
      <c r="A11824" s="55"/>
      <c r="B11824"/>
    </row>
    <row r="11825" spans="1:2">
      <c r="A11825" s="55"/>
      <c r="B11825"/>
    </row>
    <row r="11826" spans="1:2">
      <c r="A11826" s="55"/>
      <c r="B11826"/>
    </row>
    <row r="11827" spans="1:2">
      <c r="A11827" s="55"/>
      <c r="B11827"/>
    </row>
    <row r="11828" spans="1:2">
      <c r="A11828" s="55"/>
      <c r="B11828"/>
    </row>
    <row r="11829" spans="1:2">
      <c r="A11829" s="55"/>
      <c r="B11829"/>
    </row>
    <row r="11830" spans="1:2">
      <c r="A11830" s="55"/>
      <c r="B11830"/>
    </row>
    <row r="11831" spans="1:2">
      <c r="A11831" s="55"/>
      <c r="B11831"/>
    </row>
    <row r="11832" spans="1:2">
      <c r="A11832" s="55"/>
      <c r="B11832"/>
    </row>
    <row r="11833" spans="1:2">
      <c r="A11833" s="55"/>
      <c r="B11833"/>
    </row>
    <row r="11834" spans="1:2">
      <c r="A11834" s="55"/>
      <c r="B11834"/>
    </row>
    <row r="11835" spans="1:2">
      <c r="A11835" s="55"/>
      <c r="B11835"/>
    </row>
    <row r="11836" spans="1:2">
      <c r="A11836" s="55"/>
      <c r="B11836"/>
    </row>
    <row r="11837" spans="1:2">
      <c r="A11837" s="55"/>
      <c r="B11837"/>
    </row>
    <row r="11838" spans="1:2">
      <c r="A11838" s="55"/>
      <c r="B11838"/>
    </row>
    <row r="11839" spans="1:2">
      <c r="A11839" s="55"/>
      <c r="B11839"/>
    </row>
    <row r="11840" spans="1:2">
      <c r="A11840" s="55"/>
      <c r="B11840"/>
    </row>
    <row r="11841" spans="1:2">
      <c r="A11841" s="55"/>
      <c r="B11841"/>
    </row>
    <row r="11842" spans="1:2">
      <c r="A11842" s="55"/>
      <c r="B11842"/>
    </row>
    <row r="11843" spans="1:2">
      <c r="A11843" s="55"/>
      <c r="B11843"/>
    </row>
    <row r="11844" spans="1:2">
      <c r="A11844" s="55"/>
      <c r="B11844"/>
    </row>
    <row r="11845" spans="1:2">
      <c r="A11845" s="55"/>
      <c r="B11845"/>
    </row>
    <row r="11846" spans="1:2">
      <c r="A11846" s="55"/>
      <c r="B11846"/>
    </row>
    <row r="11847" spans="1:2">
      <c r="A11847" s="55"/>
      <c r="B11847"/>
    </row>
    <row r="11848" spans="1:2">
      <c r="A11848" s="55"/>
      <c r="B11848"/>
    </row>
    <row r="11849" spans="1:2">
      <c r="A11849" s="55"/>
      <c r="B11849"/>
    </row>
    <row r="11850" spans="1:2">
      <c r="A11850" s="55"/>
      <c r="B11850"/>
    </row>
    <row r="11851" spans="1:2">
      <c r="A11851" s="55"/>
      <c r="B11851"/>
    </row>
    <row r="11852" spans="1:2">
      <c r="A11852" s="55"/>
      <c r="B11852"/>
    </row>
    <row r="11853" spans="1:2">
      <c r="A11853" s="55"/>
      <c r="B11853"/>
    </row>
    <row r="11854" spans="1:2">
      <c r="A11854" s="55"/>
      <c r="B11854"/>
    </row>
    <row r="11855" spans="1:2">
      <c r="A11855" s="55"/>
      <c r="B11855"/>
    </row>
    <row r="11856" spans="1:2">
      <c r="A11856" s="55"/>
      <c r="B11856"/>
    </row>
    <row r="11857" spans="1:2">
      <c r="A11857" s="55"/>
      <c r="B11857"/>
    </row>
    <row r="11858" spans="1:2">
      <c r="A11858" s="55"/>
      <c r="B11858"/>
    </row>
    <row r="11859" spans="1:2">
      <c r="A11859" s="55"/>
      <c r="B11859"/>
    </row>
    <row r="11860" spans="1:2">
      <c r="A11860" s="55"/>
      <c r="B11860"/>
    </row>
    <row r="11861" spans="1:2">
      <c r="A11861" s="55"/>
      <c r="B11861"/>
    </row>
    <row r="11862" spans="1:2">
      <c r="A11862" s="55"/>
      <c r="B11862"/>
    </row>
    <row r="11863" spans="1:2">
      <c r="A11863" s="55"/>
      <c r="B11863"/>
    </row>
    <row r="11864" spans="1:2">
      <c r="A11864" s="55"/>
      <c r="B11864"/>
    </row>
    <row r="11865" spans="1:2">
      <c r="A11865" s="55"/>
      <c r="B11865"/>
    </row>
    <row r="11866" spans="1:2">
      <c r="A11866" s="55"/>
      <c r="B11866"/>
    </row>
    <row r="11867" spans="1:2">
      <c r="A11867" s="55"/>
      <c r="B11867"/>
    </row>
    <row r="11868" spans="1:2">
      <c r="A11868" s="55"/>
      <c r="B11868"/>
    </row>
    <row r="11869" spans="1:2">
      <c r="A11869" s="55"/>
      <c r="B11869"/>
    </row>
    <row r="11870" spans="1:2">
      <c r="A11870" s="55"/>
      <c r="B11870"/>
    </row>
    <row r="11871" spans="1:2">
      <c r="A11871" s="55"/>
      <c r="B11871"/>
    </row>
    <row r="11872" spans="1:2">
      <c r="A11872" s="55"/>
      <c r="B11872"/>
    </row>
    <row r="11873" spans="1:2">
      <c r="A11873" s="55"/>
      <c r="B11873"/>
    </row>
    <row r="11874" spans="1:2">
      <c r="A11874" s="55"/>
      <c r="B11874"/>
    </row>
    <row r="11875" spans="1:2">
      <c r="A11875" s="55"/>
      <c r="B11875"/>
    </row>
    <row r="11876" spans="1:2">
      <c r="A11876" s="55"/>
      <c r="B11876"/>
    </row>
    <row r="11877" spans="1:2">
      <c r="A11877" s="55"/>
      <c r="B11877"/>
    </row>
    <row r="11878" spans="1:2">
      <c r="A11878" s="55"/>
      <c r="B11878"/>
    </row>
    <row r="11879" spans="1:2">
      <c r="A11879" s="55"/>
      <c r="B11879"/>
    </row>
    <row r="11880" spans="1:2">
      <c r="A11880" s="55"/>
      <c r="B11880"/>
    </row>
    <row r="11881" spans="1:2">
      <c r="A11881" s="55"/>
      <c r="B11881"/>
    </row>
    <row r="11882" spans="1:2">
      <c r="A11882" s="55"/>
      <c r="B11882"/>
    </row>
    <row r="11883" spans="1:2">
      <c r="A11883" s="55"/>
      <c r="B11883"/>
    </row>
    <row r="11884" spans="1:2">
      <c r="A11884" s="55"/>
      <c r="B11884"/>
    </row>
    <row r="11885" spans="1:2">
      <c r="A11885" s="55"/>
      <c r="B11885"/>
    </row>
    <row r="11886" spans="1:2">
      <c r="A11886" s="55"/>
      <c r="B11886"/>
    </row>
    <row r="11887" spans="1:2">
      <c r="A11887" s="55"/>
      <c r="B11887"/>
    </row>
    <row r="11888" spans="1:2">
      <c r="A11888" s="55"/>
      <c r="B11888"/>
    </row>
    <row r="11889" spans="1:2">
      <c r="A11889" s="55"/>
      <c r="B11889"/>
    </row>
    <row r="11890" spans="1:2">
      <c r="A11890" s="55"/>
      <c r="B11890"/>
    </row>
    <row r="11891" spans="1:2">
      <c r="A11891" s="55"/>
      <c r="B11891"/>
    </row>
    <row r="11892" spans="1:2">
      <c r="A11892" s="55"/>
      <c r="B11892"/>
    </row>
    <row r="11893" spans="1:2">
      <c r="A11893" s="55"/>
      <c r="B11893"/>
    </row>
    <row r="11894" spans="1:2">
      <c r="A11894" s="55"/>
      <c r="B11894"/>
    </row>
    <row r="11895" spans="1:2">
      <c r="A11895" s="55"/>
      <c r="B11895"/>
    </row>
    <row r="11896" spans="1:2">
      <c r="A11896" s="55"/>
      <c r="B11896"/>
    </row>
    <row r="11897" spans="1:2">
      <c r="A11897" s="55"/>
      <c r="B11897"/>
    </row>
    <row r="11898" spans="1:2">
      <c r="A11898" s="55"/>
      <c r="B11898"/>
    </row>
    <row r="11899" spans="1:2">
      <c r="A11899" s="55"/>
      <c r="B11899"/>
    </row>
    <row r="11900" spans="1:2">
      <c r="A11900" s="55"/>
      <c r="B11900"/>
    </row>
    <row r="11901" spans="1:2">
      <c r="A11901" s="55"/>
      <c r="B11901"/>
    </row>
    <row r="11902" spans="1:2">
      <c r="A11902" s="55"/>
      <c r="B11902"/>
    </row>
    <row r="11903" spans="1:2">
      <c r="A11903" s="55"/>
      <c r="B11903"/>
    </row>
    <row r="11904" spans="1:2">
      <c r="A11904" s="55"/>
      <c r="B11904"/>
    </row>
    <row r="11905" spans="1:2">
      <c r="A11905" s="55"/>
      <c r="B11905"/>
    </row>
    <row r="11906" spans="1:2">
      <c r="A11906" s="55"/>
      <c r="B11906"/>
    </row>
    <row r="11907" spans="1:2">
      <c r="A11907" s="55"/>
      <c r="B11907"/>
    </row>
    <row r="11908" spans="1:2">
      <c r="A11908" s="55"/>
      <c r="B11908"/>
    </row>
    <row r="11909" spans="1:2">
      <c r="A11909" s="55"/>
      <c r="B11909"/>
    </row>
    <row r="11910" spans="1:2">
      <c r="A11910" s="55"/>
      <c r="B11910"/>
    </row>
    <row r="11911" spans="1:2">
      <c r="A11911" s="55"/>
      <c r="B11911"/>
    </row>
    <row r="11912" spans="1:2">
      <c r="A11912" s="55"/>
      <c r="B11912"/>
    </row>
    <row r="11913" spans="1:2">
      <c r="A11913" s="55"/>
      <c r="B11913"/>
    </row>
    <row r="11914" spans="1:2">
      <c r="A11914" s="55"/>
      <c r="B11914"/>
    </row>
    <row r="11915" spans="1:2">
      <c r="A11915" s="55"/>
      <c r="B11915"/>
    </row>
    <row r="11916" spans="1:2">
      <c r="A11916" s="55"/>
      <c r="B11916"/>
    </row>
    <row r="11917" spans="1:2">
      <c r="A11917" s="55"/>
      <c r="B11917"/>
    </row>
    <row r="11918" spans="1:2">
      <c r="A11918" s="55"/>
      <c r="B11918"/>
    </row>
    <row r="11919" spans="1:2">
      <c r="A11919" s="55"/>
      <c r="B11919"/>
    </row>
    <row r="11920" spans="1:2">
      <c r="A11920" s="55"/>
      <c r="B11920"/>
    </row>
    <row r="11921" spans="1:2">
      <c r="A11921" s="55"/>
      <c r="B11921"/>
    </row>
    <row r="11922" spans="1:2">
      <c r="A11922" s="55"/>
      <c r="B11922"/>
    </row>
    <row r="11923" spans="1:2">
      <c r="A11923" s="55"/>
      <c r="B11923"/>
    </row>
    <row r="11924" spans="1:2">
      <c r="A11924" s="55"/>
      <c r="B11924"/>
    </row>
    <row r="11925" spans="1:2">
      <c r="A11925" s="55"/>
      <c r="B11925"/>
    </row>
    <row r="11926" spans="1:2">
      <c r="A11926" s="55"/>
      <c r="B11926"/>
    </row>
    <row r="11927" spans="1:2">
      <c r="A11927" s="55"/>
      <c r="B11927"/>
    </row>
    <row r="11928" spans="1:2">
      <c r="A11928" s="55"/>
      <c r="B11928"/>
    </row>
    <row r="11929" spans="1:2">
      <c r="A11929" s="55"/>
      <c r="B11929"/>
    </row>
    <row r="11930" spans="1:2">
      <c r="A11930" s="55"/>
      <c r="B11930"/>
    </row>
    <row r="11931" spans="1:2">
      <c r="A11931" s="55"/>
      <c r="B11931"/>
    </row>
    <row r="11932" spans="1:2">
      <c r="A11932" s="55"/>
      <c r="B11932"/>
    </row>
    <row r="11933" spans="1:2">
      <c r="A11933" s="55"/>
      <c r="B11933"/>
    </row>
    <row r="11934" spans="1:2">
      <c r="A11934" s="55"/>
      <c r="B11934"/>
    </row>
    <row r="11935" spans="1:2">
      <c r="A11935" s="55"/>
      <c r="B11935"/>
    </row>
    <row r="11936" spans="1:2">
      <c r="A11936" s="55"/>
      <c r="B11936"/>
    </row>
    <row r="11937" spans="1:2">
      <c r="A11937" s="55"/>
      <c r="B11937"/>
    </row>
    <row r="11938" spans="1:2">
      <c r="A11938" s="55"/>
      <c r="B11938"/>
    </row>
    <row r="11939" spans="1:2">
      <c r="A11939" s="55"/>
      <c r="B11939"/>
    </row>
    <row r="11940" spans="1:2">
      <c r="A11940" s="55"/>
      <c r="B11940"/>
    </row>
    <row r="11941" spans="1:2">
      <c r="A11941" s="55"/>
      <c r="B11941"/>
    </row>
    <row r="11942" spans="1:2">
      <c r="A11942" s="55"/>
      <c r="B11942"/>
    </row>
    <row r="11943" spans="1:2">
      <c r="A11943" s="55"/>
      <c r="B11943"/>
    </row>
    <row r="11944" spans="1:2">
      <c r="A11944" s="55"/>
      <c r="B11944"/>
    </row>
    <row r="11945" spans="1:2">
      <c r="A11945" s="55"/>
      <c r="B11945"/>
    </row>
    <row r="11946" spans="1:2">
      <c r="A11946" s="55"/>
      <c r="B11946"/>
    </row>
    <row r="11947" spans="1:2">
      <c r="A11947" s="55"/>
      <c r="B11947"/>
    </row>
    <row r="11948" spans="1:2">
      <c r="A11948" s="55"/>
      <c r="B11948"/>
    </row>
    <row r="11949" spans="1:2">
      <c r="A11949" s="55"/>
      <c r="B11949"/>
    </row>
    <row r="11950" spans="1:2">
      <c r="A11950" s="55"/>
      <c r="B11950"/>
    </row>
    <row r="11951" spans="1:2">
      <c r="A11951" s="55"/>
      <c r="B11951"/>
    </row>
    <row r="11952" spans="1:2">
      <c r="A11952" s="55"/>
      <c r="B11952"/>
    </row>
    <row r="11953" spans="1:2">
      <c r="A11953" s="55"/>
      <c r="B11953"/>
    </row>
    <row r="11954" spans="1:2">
      <c r="A11954" s="55"/>
      <c r="B11954"/>
    </row>
    <row r="11955" spans="1:2">
      <c r="A11955" s="55"/>
      <c r="B11955"/>
    </row>
    <row r="11956" spans="1:2">
      <c r="A11956" s="55"/>
      <c r="B11956"/>
    </row>
    <row r="11957" spans="1:2">
      <c r="A11957" s="55"/>
      <c r="B11957"/>
    </row>
    <row r="11958" spans="1:2">
      <c r="A11958" s="55"/>
      <c r="B11958"/>
    </row>
    <row r="11959" spans="1:2">
      <c r="A11959" s="55"/>
      <c r="B11959"/>
    </row>
    <row r="11960" spans="1:2">
      <c r="A11960" s="55"/>
      <c r="B11960"/>
    </row>
    <row r="11961" spans="1:2">
      <c r="A11961" s="55"/>
      <c r="B11961"/>
    </row>
    <row r="11962" spans="1:2">
      <c r="A11962" s="55"/>
      <c r="B11962"/>
    </row>
    <row r="11963" spans="1:2">
      <c r="A11963" s="55"/>
      <c r="B11963"/>
    </row>
    <row r="11964" spans="1:2">
      <c r="A11964" s="55"/>
      <c r="B11964"/>
    </row>
    <row r="11965" spans="1:2">
      <c r="A11965" s="55"/>
      <c r="B11965"/>
    </row>
    <row r="11966" spans="1:2">
      <c r="A11966" s="55"/>
      <c r="B11966"/>
    </row>
    <row r="11967" spans="1:2">
      <c r="A11967" s="55"/>
      <c r="B11967"/>
    </row>
    <row r="11968" spans="1:2">
      <c r="A11968" s="55"/>
      <c r="B11968"/>
    </row>
    <row r="11969" spans="1:2">
      <c r="A11969" s="55"/>
      <c r="B11969"/>
    </row>
    <row r="11970" spans="1:2">
      <c r="A11970" s="55"/>
      <c r="B11970"/>
    </row>
    <row r="11971" spans="1:2">
      <c r="A11971" s="55"/>
      <c r="B11971"/>
    </row>
    <row r="11972" spans="1:2">
      <c r="A11972" s="55"/>
      <c r="B11972"/>
    </row>
    <row r="11973" spans="1:2">
      <c r="A11973" s="55"/>
      <c r="B11973"/>
    </row>
    <row r="11974" spans="1:2">
      <c r="A11974" s="55"/>
      <c r="B11974"/>
    </row>
    <row r="11975" spans="1:2">
      <c r="A11975" s="55"/>
      <c r="B11975"/>
    </row>
    <row r="11976" spans="1:2">
      <c r="A11976" s="55"/>
      <c r="B11976"/>
    </row>
    <row r="11977" spans="1:2">
      <c r="A11977" s="55"/>
      <c r="B11977"/>
    </row>
    <row r="11978" spans="1:2">
      <c r="A11978" s="55"/>
      <c r="B11978"/>
    </row>
    <row r="11979" spans="1:2">
      <c r="A11979" s="55"/>
      <c r="B11979"/>
    </row>
    <row r="11980" spans="1:2">
      <c r="A11980" s="55"/>
      <c r="B11980"/>
    </row>
    <row r="11981" spans="1:2">
      <c r="A11981" s="55"/>
      <c r="B11981"/>
    </row>
    <row r="11982" spans="1:2">
      <c r="A11982" s="55"/>
      <c r="B11982"/>
    </row>
    <row r="11983" spans="1:2">
      <c r="A11983" s="55"/>
      <c r="B11983"/>
    </row>
    <row r="11984" spans="1:2">
      <c r="A11984" s="55"/>
      <c r="B11984"/>
    </row>
    <row r="11985" spans="1:2">
      <c r="A11985" s="55"/>
      <c r="B11985"/>
    </row>
    <row r="11986" spans="1:2">
      <c r="A11986" s="55"/>
      <c r="B11986"/>
    </row>
    <row r="11987" spans="1:2">
      <c r="A11987" s="55"/>
      <c r="B11987"/>
    </row>
    <row r="11988" spans="1:2">
      <c r="A11988" s="55"/>
      <c r="B11988"/>
    </row>
    <row r="11989" spans="1:2">
      <c r="A11989" s="55"/>
      <c r="B11989"/>
    </row>
    <row r="11990" spans="1:2">
      <c r="A11990" s="55"/>
      <c r="B11990"/>
    </row>
    <row r="11991" spans="1:2">
      <c r="A11991" s="55"/>
      <c r="B11991"/>
    </row>
    <row r="11992" spans="1:2">
      <c r="A11992" s="55"/>
      <c r="B11992"/>
    </row>
    <row r="11993" spans="1:2">
      <c r="A11993" s="55"/>
      <c r="B11993"/>
    </row>
    <row r="11994" spans="1:2">
      <c r="A11994" s="55"/>
      <c r="B11994"/>
    </row>
    <row r="11995" spans="1:2">
      <c r="A11995" s="55"/>
      <c r="B11995"/>
    </row>
    <row r="11996" spans="1:2">
      <c r="A11996" s="55"/>
      <c r="B11996"/>
    </row>
    <row r="11997" spans="1:2">
      <c r="A11997" s="55"/>
      <c r="B11997"/>
    </row>
    <row r="11998" spans="1:2">
      <c r="A11998" s="55"/>
      <c r="B11998"/>
    </row>
    <row r="11999" spans="1:2">
      <c r="A11999" s="55"/>
      <c r="B11999"/>
    </row>
    <row r="12000" spans="1:2">
      <c r="A12000" s="55"/>
      <c r="B12000"/>
    </row>
    <row r="12001" spans="1:2">
      <c r="A12001" s="55"/>
      <c r="B12001"/>
    </row>
    <row r="12002" spans="1:2">
      <c r="A12002" s="55"/>
      <c r="B12002"/>
    </row>
    <row r="12003" spans="1:2">
      <c r="A12003" s="55"/>
      <c r="B12003"/>
    </row>
    <row r="12004" spans="1:2">
      <c r="A12004" s="55"/>
      <c r="B12004"/>
    </row>
    <row r="12005" spans="1:2">
      <c r="A12005" s="55"/>
      <c r="B12005"/>
    </row>
    <row r="12006" spans="1:2">
      <c r="A12006" s="55"/>
      <c r="B12006"/>
    </row>
    <row r="12007" spans="1:2">
      <c r="A12007" s="55"/>
      <c r="B12007"/>
    </row>
    <row r="12008" spans="1:2">
      <c r="A12008" s="55"/>
      <c r="B12008"/>
    </row>
    <row r="12009" spans="1:2">
      <c r="A12009" s="55"/>
      <c r="B12009"/>
    </row>
    <row r="12010" spans="1:2">
      <c r="A12010" s="55"/>
      <c r="B12010"/>
    </row>
    <row r="12011" spans="1:2">
      <c r="A12011" s="55"/>
      <c r="B12011"/>
    </row>
    <row r="12012" spans="1:2">
      <c r="A12012" s="55"/>
      <c r="B12012"/>
    </row>
    <row r="12013" spans="1:2">
      <c r="A12013" s="55"/>
      <c r="B12013"/>
    </row>
    <row r="12014" spans="1:2">
      <c r="A12014" s="55"/>
      <c r="B12014"/>
    </row>
    <row r="12015" spans="1:2">
      <c r="A12015" s="55"/>
      <c r="B12015"/>
    </row>
    <row r="12016" spans="1:2">
      <c r="A12016" s="55"/>
      <c r="B12016"/>
    </row>
    <row r="12017" spans="1:2">
      <c r="A12017" s="55"/>
      <c r="B12017"/>
    </row>
    <row r="12018" spans="1:2">
      <c r="A12018" s="55"/>
      <c r="B12018"/>
    </row>
    <row r="12019" spans="1:2">
      <c r="A12019" s="55"/>
      <c r="B12019"/>
    </row>
    <row r="12020" spans="1:2">
      <c r="A12020" s="55"/>
      <c r="B12020"/>
    </row>
    <row r="12021" spans="1:2">
      <c r="A12021" s="55"/>
      <c r="B12021"/>
    </row>
    <row r="12022" spans="1:2">
      <c r="A12022" s="55"/>
      <c r="B12022"/>
    </row>
    <row r="12023" spans="1:2">
      <c r="A12023" s="55"/>
      <c r="B12023"/>
    </row>
    <row r="12024" spans="1:2">
      <c r="A12024" s="55"/>
      <c r="B12024"/>
    </row>
    <row r="12025" spans="1:2">
      <c r="A12025" s="55"/>
      <c r="B12025"/>
    </row>
    <row r="12026" spans="1:2">
      <c r="A12026" s="55"/>
      <c r="B12026"/>
    </row>
    <row r="12027" spans="1:2">
      <c r="A12027" s="55"/>
      <c r="B12027"/>
    </row>
    <row r="12028" spans="1:2">
      <c r="A12028" s="55"/>
      <c r="B12028"/>
    </row>
    <row r="12029" spans="1:2">
      <c r="A12029" s="55"/>
      <c r="B12029"/>
    </row>
    <row r="12030" spans="1:2">
      <c r="A12030" s="55"/>
      <c r="B12030"/>
    </row>
    <row r="12031" spans="1:2">
      <c r="A12031" s="55"/>
      <c r="B12031"/>
    </row>
    <row r="12032" spans="1:2">
      <c r="A12032" s="55"/>
      <c r="B12032"/>
    </row>
    <row r="12033" spans="1:2">
      <c r="A12033" s="55"/>
      <c r="B12033"/>
    </row>
    <row r="12034" spans="1:2">
      <c r="A12034" s="55"/>
      <c r="B12034"/>
    </row>
    <row r="12035" spans="1:2">
      <c r="A12035" s="55"/>
      <c r="B12035"/>
    </row>
    <row r="12036" spans="1:2">
      <c r="A12036" s="55"/>
      <c r="B12036"/>
    </row>
    <row r="12037" spans="1:2">
      <c r="A12037" s="55"/>
      <c r="B12037"/>
    </row>
    <row r="12038" spans="1:2">
      <c r="A12038" s="55"/>
      <c r="B12038"/>
    </row>
    <row r="12039" spans="1:2">
      <c r="A12039" s="55"/>
      <c r="B12039"/>
    </row>
    <row r="12040" spans="1:2">
      <c r="A12040" s="55"/>
      <c r="B12040"/>
    </row>
    <row r="12041" spans="1:2">
      <c r="A12041" s="55"/>
      <c r="B12041"/>
    </row>
    <row r="12042" spans="1:2">
      <c r="A12042" s="55"/>
      <c r="B12042"/>
    </row>
    <row r="12043" spans="1:2">
      <c r="A12043" s="55"/>
      <c r="B12043"/>
    </row>
    <row r="12044" spans="1:2">
      <c r="A12044" s="55"/>
      <c r="B12044"/>
    </row>
    <row r="12045" spans="1:2">
      <c r="A12045" s="55"/>
      <c r="B12045"/>
    </row>
    <row r="12046" spans="1:2">
      <c r="A12046" s="55"/>
      <c r="B12046"/>
    </row>
    <row r="12047" spans="1:2">
      <c r="A12047" s="55"/>
      <c r="B12047"/>
    </row>
    <row r="12048" spans="1:2">
      <c r="A12048" s="55"/>
      <c r="B12048"/>
    </row>
    <row r="12049" spans="1:2">
      <c r="A12049" s="55"/>
      <c r="B12049"/>
    </row>
    <row r="12050" spans="1:2">
      <c r="A12050" s="55"/>
      <c r="B12050"/>
    </row>
    <row r="12051" spans="1:2">
      <c r="A12051" s="55"/>
      <c r="B12051"/>
    </row>
    <row r="12052" spans="1:2">
      <c r="A12052" s="55"/>
      <c r="B12052"/>
    </row>
    <row r="12053" spans="1:2">
      <c r="A12053" s="55"/>
      <c r="B12053"/>
    </row>
    <row r="12054" spans="1:2">
      <c r="A12054" s="55"/>
      <c r="B12054"/>
    </row>
    <row r="12055" spans="1:2">
      <c r="A12055" s="55"/>
      <c r="B12055"/>
    </row>
    <row r="12056" spans="1:2">
      <c r="A12056" s="55"/>
      <c r="B12056"/>
    </row>
    <row r="12057" spans="1:2">
      <c r="A12057" s="55"/>
      <c r="B12057"/>
    </row>
    <row r="12058" spans="1:2">
      <c r="A12058" s="55"/>
      <c r="B12058"/>
    </row>
    <row r="12059" spans="1:2">
      <c r="A12059" s="55"/>
      <c r="B12059"/>
    </row>
    <row r="12060" spans="1:2">
      <c r="A12060" s="55"/>
      <c r="B12060"/>
    </row>
    <row r="12061" spans="1:2">
      <c r="A12061" s="55"/>
      <c r="B12061"/>
    </row>
    <row r="12062" spans="1:2">
      <c r="A12062" s="55"/>
      <c r="B12062"/>
    </row>
    <row r="12063" spans="1:2">
      <c r="A12063" s="55"/>
      <c r="B12063"/>
    </row>
    <row r="12064" spans="1:2">
      <c r="A12064" s="55"/>
      <c r="B12064"/>
    </row>
    <row r="12065" spans="1:2">
      <c r="A12065" s="55"/>
      <c r="B12065"/>
    </row>
    <row r="12066" spans="1:2">
      <c r="A12066" s="55"/>
      <c r="B12066"/>
    </row>
    <row r="12067" spans="1:2">
      <c r="A12067" s="55"/>
      <c r="B12067"/>
    </row>
    <row r="12068" spans="1:2">
      <c r="A12068" s="55"/>
      <c r="B12068"/>
    </row>
    <row r="12069" spans="1:2">
      <c r="A12069" s="55"/>
      <c r="B12069"/>
    </row>
    <row r="12070" spans="1:2">
      <c r="A12070" s="55"/>
      <c r="B12070"/>
    </row>
    <row r="12071" spans="1:2">
      <c r="A12071" s="55"/>
      <c r="B12071"/>
    </row>
    <row r="12072" spans="1:2">
      <c r="A12072" s="55"/>
      <c r="B12072"/>
    </row>
    <row r="12073" spans="1:2">
      <c r="A12073" s="55"/>
      <c r="B12073"/>
    </row>
    <row r="12074" spans="1:2">
      <c r="A12074" s="55"/>
      <c r="B12074"/>
    </row>
    <row r="12075" spans="1:2">
      <c r="A12075" s="55"/>
      <c r="B12075"/>
    </row>
    <row r="12076" spans="1:2">
      <c r="A12076" s="55"/>
      <c r="B12076"/>
    </row>
    <row r="12077" spans="1:2">
      <c r="A12077" s="55"/>
      <c r="B12077"/>
    </row>
    <row r="12078" spans="1:2">
      <c r="A12078" s="55"/>
      <c r="B12078"/>
    </row>
    <row r="12079" spans="1:2">
      <c r="A12079" s="55"/>
      <c r="B12079"/>
    </row>
    <row r="12080" spans="1:2">
      <c r="A12080" s="55"/>
      <c r="B12080"/>
    </row>
    <row r="12081" spans="1:2">
      <c r="A12081" s="55"/>
      <c r="B12081"/>
    </row>
    <row r="12082" spans="1:2">
      <c r="A12082" s="55"/>
      <c r="B12082"/>
    </row>
    <row r="12083" spans="1:2">
      <c r="A12083" s="55"/>
      <c r="B12083"/>
    </row>
    <row r="12084" spans="1:2">
      <c r="A12084" s="55"/>
      <c r="B12084"/>
    </row>
    <row r="12085" spans="1:2">
      <c r="A12085" s="55"/>
      <c r="B12085"/>
    </row>
    <row r="12086" spans="1:2">
      <c r="A12086" s="55"/>
      <c r="B12086"/>
    </row>
    <row r="12087" spans="1:2">
      <c r="A12087" s="55"/>
      <c r="B12087"/>
    </row>
    <row r="12088" spans="1:2">
      <c r="A12088" s="55"/>
      <c r="B12088"/>
    </row>
    <row r="12089" spans="1:2">
      <c r="A12089" s="55"/>
      <c r="B12089"/>
    </row>
    <row r="12090" spans="1:2">
      <c r="A12090" s="55"/>
      <c r="B12090"/>
    </row>
    <row r="12091" spans="1:2">
      <c r="A12091" s="55"/>
      <c r="B12091"/>
    </row>
    <row r="12092" spans="1:2">
      <c r="A12092" s="55"/>
      <c r="B12092"/>
    </row>
    <row r="12093" spans="1:2">
      <c r="A12093" s="55"/>
      <c r="B12093"/>
    </row>
    <row r="12094" spans="1:2">
      <c r="A12094" s="55"/>
      <c r="B12094"/>
    </row>
    <row r="12095" spans="1:2">
      <c r="A12095" s="55"/>
      <c r="B12095"/>
    </row>
    <row r="12096" spans="1:2">
      <c r="A12096" s="55"/>
      <c r="B12096"/>
    </row>
    <row r="12097" spans="1:2">
      <c r="A12097" s="55"/>
      <c r="B12097"/>
    </row>
    <row r="12098" spans="1:2">
      <c r="A12098" s="55"/>
      <c r="B12098"/>
    </row>
    <row r="12099" spans="1:2">
      <c r="A12099" s="55"/>
      <c r="B12099"/>
    </row>
    <row r="12100" spans="1:2">
      <c r="A12100" s="55"/>
      <c r="B12100"/>
    </row>
    <row r="12101" spans="1:2">
      <c r="A12101" s="55"/>
      <c r="B12101"/>
    </row>
    <row r="12102" spans="1:2">
      <c r="A12102" s="55"/>
      <c r="B12102"/>
    </row>
    <row r="12103" spans="1:2">
      <c r="A12103" s="55"/>
      <c r="B12103"/>
    </row>
    <row r="12104" spans="1:2">
      <c r="A12104" s="55"/>
      <c r="B12104"/>
    </row>
    <row r="12105" spans="1:2">
      <c r="A12105" s="55"/>
      <c r="B12105"/>
    </row>
    <row r="12106" spans="1:2">
      <c r="A12106" s="55"/>
      <c r="B12106"/>
    </row>
    <row r="12107" spans="1:2">
      <c r="A12107" s="55"/>
      <c r="B12107"/>
    </row>
    <row r="12108" spans="1:2">
      <c r="A12108" s="55"/>
      <c r="B12108"/>
    </row>
    <row r="12109" spans="1:2">
      <c r="A12109" s="55"/>
      <c r="B12109"/>
    </row>
    <row r="12110" spans="1:2">
      <c r="A12110" s="55"/>
      <c r="B12110"/>
    </row>
    <row r="12111" spans="1:2">
      <c r="A12111" s="55"/>
      <c r="B12111"/>
    </row>
    <row r="12112" spans="1:2">
      <c r="A12112" s="55"/>
      <c r="B12112"/>
    </row>
    <row r="12113" spans="1:2">
      <c r="A12113" s="55"/>
      <c r="B12113"/>
    </row>
    <row r="12114" spans="1:2">
      <c r="A12114" s="55"/>
      <c r="B12114"/>
    </row>
    <row r="12115" spans="1:2">
      <c r="A12115" s="55"/>
      <c r="B12115"/>
    </row>
    <row r="12116" spans="1:2">
      <c r="A12116" s="55"/>
      <c r="B12116"/>
    </row>
    <row r="12117" spans="1:2">
      <c r="A12117" s="55"/>
      <c r="B12117"/>
    </row>
    <row r="12118" spans="1:2">
      <c r="A12118" s="55"/>
      <c r="B12118"/>
    </row>
    <row r="12119" spans="1:2">
      <c r="A12119" s="55"/>
      <c r="B12119"/>
    </row>
    <row r="12120" spans="1:2">
      <c r="A12120" s="55"/>
      <c r="B12120"/>
    </row>
    <row r="12121" spans="1:2">
      <c r="A12121" s="55"/>
      <c r="B12121"/>
    </row>
    <row r="12122" spans="1:2">
      <c r="A12122" s="55"/>
      <c r="B12122"/>
    </row>
    <row r="12123" spans="1:2">
      <c r="A12123" s="55"/>
      <c r="B12123"/>
    </row>
    <row r="12124" spans="1:2">
      <c r="A12124" s="55"/>
      <c r="B12124"/>
    </row>
    <row r="12125" spans="1:2">
      <c r="A12125" s="55"/>
      <c r="B12125"/>
    </row>
    <row r="12126" spans="1:2">
      <c r="A12126" s="55"/>
      <c r="B12126"/>
    </row>
    <row r="12127" spans="1:2">
      <c r="A12127" s="55"/>
      <c r="B12127"/>
    </row>
    <row r="12128" spans="1:2">
      <c r="A12128" s="55"/>
      <c r="B12128"/>
    </row>
    <row r="12129" spans="1:2">
      <c r="A12129" s="55"/>
      <c r="B12129"/>
    </row>
    <row r="12130" spans="1:2">
      <c r="A12130" s="55"/>
      <c r="B12130"/>
    </row>
    <row r="12131" spans="1:2">
      <c r="A12131" s="55"/>
      <c r="B12131"/>
    </row>
    <row r="12132" spans="1:2">
      <c r="A12132" s="55"/>
      <c r="B12132"/>
    </row>
    <row r="12133" spans="1:2">
      <c r="A12133" s="55"/>
      <c r="B12133"/>
    </row>
    <row r="12134" spans="1:2">
      <c r="A12134" s="55"/>
      <c r="B12134"/>
    </row>
    <row r="12135" spans="1:2">
      <c r="A12135" s="55"/>
      <c r="B12135"/>
    </row>
    <row r="12136" spans="1:2">
      <c r="A12136" s="55"/>
      <c r="B12136"/>
    </row>
    <row r="12137" spans="1:2">
      <c r="A12137" s="55"/>
      <c r="B12137"/>
    </row>
    <row r="12138" spans="1:2">
      <c r="A12138" s="55"/>
      <c r="B12138"/>
    </row>
    <row r="12139" spans="1:2">
      <c r="A12139" s="55"/>
      <c r="B12139"/>
    </row>
    <row r="12140" spans="1:2">
      <c r="A12140" s="55"/>
      <c r="B12140"/>
    </row>
    <row r="12141" spans="1:2">
      <c r="A12141" s="55"/>
      <c r="B12141"/>
    </row>
    <row r="12142" spans="1:2">
      <c r="A12142" s="55"/>
      <c r="B12142"/>
    </row>
    <row r="12143" spans="1:2">
      <c r="A12143" s="55"/>
      <c r="B12143"/>
    </row>
    <row r="12144" spans="1:2">
      <c r="A12144" s="55"/>
      <c r="B12144"/>
    </row>
    <row r="12145" spans="1:2">
      <c r="A12145" s="55"/>
      <c r="B12145"/>
    </row>
    <row r="12146" spans="1:2">
      <c r="A12146" s="55"/>
      <c r="B12146"/>
    </row>
    <row r="12147" spans="1:2">
      <c r="A12147" s="55"/>
      <c r="B12147"/>
    </row>
    <row r="12148" spans="1:2">
      <c r="A12148" s="55"/>
      <c r="B12148"/>
    </row>
    <row r="12149" spans="1:2">
      <c r="A12149" s="55"/>
      <c r="B12149"/>
    </row>
    <row r="12150" spans="1:2">
      <c r="A12150" s="55"/>
      <c r="B12150"/>
    </row>
    <row r="12151" spans="1:2">
      <c r="A12151" s="55"/>
      <c r="B12151"/>
    </row>
    <row r="12152" spans="1:2">
      <c r="A12152" s="55"/>
      <c r="B12152"/>
    </row>
    <row r="12153" spans="1:2">
      <c r="A12153" s="55"/>
      <c r="B12153"/>
    </row>
    <row r="12154" spans="1:2">
      <c r="A12154" s="55"/>
      <c r="B12154"/>
    </row>
    <row r="12155" spans="1:2">
      <c r="A12155" s="55"/>
      <c r="B12155"/>
    </row>
    <row r="12156" spans="1:2">
      <c r="A12156" s="55"/>
      <c r="B12156"/>
    </row>
    <row r="12157" spans="1:2">
      <c r="A12157" s="55"/>
      <c r="B12157"/>
    </row>
    <row r="12158" spans="1:2">
      <c r="A12158" s="55"/>
      <c r="B12158"/>
    </row>
    <row r="12159" spans="1:2">
      <c r="A12159" s="55"/>
      <c r="B12159"/>
    </row>
    <row r="12160" spans="1:2">
      <c r="A12160" s="55"/>
      <c r="B12160"/>
    </row>
    <row r="12161" spans="1:2">
      <c r="A12161" s="55"/>
      <c r="B12161"/>
    </row>
    <row r="12162" spans="1:2">
      <c r="A12162" s="55"/>
      <c r="B12162"/>
    </row>
    <row r="12163" spans="1:2">
      <c r="A12163" s="55"/>
      <c r="B12163"/>
    </row>
    <row r="12164" spans="1:2">
      <c r="A12164" s="55"/>
      <c r="B12164"/>
    </row>
    <row r="12165" spans="1:2">
      <c r="A12165" s="55"/>
      <c r="B12165"/>
    </row>
    <row r="12166" spans="1:2">
      <c r="A12166" s="55"/>
      <c r="B12166"/>
    </row>
    <row r="12167" spans="1:2">
      <c r="A12167" s="55"/>
      <c r="B12167"/>
    </row>
    <row r="12168" spans="1:2">
      <c r="A12168" s="55"/>
      <c r="B12168"/>
    </row>
    <row r="12169" spans="1:2">
      <c r="A12169" s="55"/>
      <c r="B12169"/>
    </row>
    <row r="12170" spans="1:2">
      <c r="A12170" s="55"/>
      <c r="B12170"/>
    </row>
    <row r="12171" spans="1:2">
      <c r="A12171" s="55"/>
      <c r="B12171"/>
    </row>
    <row r="12172" spans="1:2">
      <c r="A12172" s="55"/>
      <c r="B12172"/>
    </row>
    <row r="12173" spans="1:2">
      <c r="A12173" s="55"/>
      <c r="B12173"/>
    </row>
    <row r="12174" spans="1:2">
      <c r="A12174" s="55"/>
      <c r="B12174"/>
    </row>
    <row r="12175" spans="1:2">
      <c r="A12175" s="55"/>
      <c r="B12175"/>
    </row>
    <row r="12176" spans="1:2">
      <c r="A12176" s="55"/>
      <c r="B12176"/>
    </row>
    <row r="12177" spans="1:2">
      <c r="A12177" s="55"/>
      <c r="B12177"/>
    </row>
    <row r="12178" spans="1:2">
      <c r="A12178" s="55"/>
      <c r="B12178"/>
    </row>
    <row r="12179" spans="1:2">
      <c r="A12179" s="55"/>
      <c r="B12179"/>
    </row>
    <row r="12180" spans="1:2">
      <c r="A12180" s="55"/>
      <c r="B12180"/>
    </row>
    <row r="12181" spans="1:2">
      <c r="A12181" s="55"/>
      <c r="B12181"/>
    </row>
    <row r="12182" spans="1:2">
      <c r="A12182" s="55"/>
      <c r="B12182"/>
    </row>
    <row r="12183" spans="1:2">
      <c r="A12183" s="55"/>
      <c r="B12183"/>
    </row>
    <row r="12184" spans="1:2">
      <c r="A12184" s="55"/>
      <c r="B12184"/>
    </row>
    <row r="12185" spans="1:2">
      <c r="A12185" s="55"/>
      <c r="B12185"/>
    </row>
    <row r="12186" spans="1:2">
      <c r="A12186" s="55"/>
      <c r="B12186"/>
    </row>
    <row r="12187" spans="1:2">
      <c r="A12187" s="55"/>
      <c r="B12187"/>
    </row>
    <row r="12188" spans="1:2">
      <c r="A12188" s="55"/>
      <c r="B12188"/>
    </row>
    <row r="12189" spans="1:2">
      <c r="A12189" s="55"/>
      <c r="B12189"/>
    </row>
    <row r="12190" spans="1:2">
      <c r="A12190" s="55"/>
      <c r="B12190"/>
    </row>
    <row r="12191" spans="1:2">
      <c r="A12191" s="55"/>
      <c r="B12191"/>
    </row>
    <row r="12192" spans="1:2">
      <c r="A12192" s="55"/>
      <c r="B12192"/>
    </row>
    <row r="12193" spans="1:2">
      <c r="A12193" s="55"/>
      <c r="B12193"/>
    </row>
    <row r="12194" spans="1:2">
      <c r="A12194" s="55"/>
      <c r="B12194"/>
    </row>
    <row r="12195" spans="1:2">
      <c r="A12195" s="55"/>
      <c r="B12195"/>
    </row>
    <row r="12196" spans="1:2">
      <c r="A12196" s="55"/>
      <c r="B12196"/>
    </row>
    <row r="12197" spans="1:2">
      <c r="A12197" s="55"/>
      <c r="B12197"/>
    </row>
    <row r="12198" spans="1:2">
      <c r="A12198" s="55"/>
      <c r="B12198"/>
    </row>
    <row r="12199" spans="1:2">
      <c r="A12199" s="55"/>
      <c r="B12199"/>
    </row>
    <row r="12200" spans="1:2">
      <c r="A12200" s="55"/>
      <c r="B12200"/>
    </row>
    <row r="12201" spans="1:2">
      <c r="A12201" s="55"/>
      <c r="B12201"/>
    </row>
    <row r="12202" spans="1:2">
      <c r="A12202" s="55"/>
      <c r="B12202"/>
    </row>
    <row r="12203" spans="1:2">
      <c r="A12203" s="55"/>
      <c r="B12203"/>
    </row>
    <row r="12204" spans="1:2">
      <c r="A12204" s="55"/>
      <c r="B12204"/>
    </row>
    <row r="12205" spans="1:2">
      <c r="A12205" s="55"/>
      <c r="B12205"/>
    </row>
    <row r="12206" spans="1:2">
      <c r="A12206" s="55"/>
      <c r="B12206"/>
    </row>
    <row r="12207" spans="1:2">
      <c r="A12207" s="55"/>
      <c r="B12207"/>
    </row>
    <row r="12208" spans="1:2">
      <c r="A12208" s="55"/>
      <c r="B12208"/>
    </row>
    <row r="12209" spans="1:2">
      <c r="A12209" s="55"/>
      <c r="B12209"/>
    </row>
    <row r="12210" spans="1:2">
      <c r="A12210" s="55"/>
      <c r="B12210"/>
    </row>
    <row r="12211" spans="1:2">
      <c r="A12211" s="55"/>
      <c r="B12211"/>
    </row>
    <row r="12212" spans="1:2">
      <c r="A12212" s="55"/>
      <c r="B12212"/>
    </row>
    <row r="12213" spans="1:2">
      <c r="A12213" s="55"/>
      <c r="B12213"/>
    </row>
    <row r="12214" spans="1:2">
      <c r="A12214" s="55"/>
      <c r="B12214"/>
    </row>
    <row r="12215" spans="1:2">
      <c r="A12215" s="55"/>
      <c r="B12215"/>
    </row>
    <row r="12216" spans="1:2">
      <c r="A12216" s="55"/>
      <c r="B12216"/>
    </row>
    <row r="12217" spans="1:2">
      <c r="A12217" s="55"/>
      <c r="B12217"/>
    </row>
    <row r="12218" spans="1:2">
      <c r="A12218" s="55"/>
      <c r="B12218"/>
    </row>
    <row r="12219" spans="1:2">
      <c r="A12219" s="55"/>
      <c r="B12219"/>
    </row>
    <row r="12220" spans="1:2">
      <c r="A12220" s="55"/>
      <c r="B12220"/>
    </row>
    <row r="12221" spans="1:2">
      <c r="A12221" s="55"/>
      <c r="B12221"/>
    </row>
    <row r="12222" spans="1:2">
      <c r="A12222" s="55"/>
      <c r="B12222"/>
    </row>
    <row r="12223" spans="1:2">
      <c r="A12223" s="55"/>
      <c r="B12223"/>
    </row>
    <row r="12224" spans="1:2">
      <c r="A12224" s="55"/>
      <c r="B12224"/>
    </row>
    <row r="12225" spans="1:2">
      <c r="A12225" s="55"/>
      <c r="B12225"/>
    </row>
    <row r="12226" spans="1:2">
      <c r="A12226" s="55"/>
      <c r="B12226"/>
    </row>
    <row r="12227" spans="1:2">
      <c r="A12227" s="55"/>
      <c r="B12227"/>
    </row>
    <row r="12228" spans="1:2">
      <c r="A12228" s="55"/>
      <c r="B12228"/>
    </row>
    <row r="12229" spans="1:2">
      <c r="A12229" s="55"/>
      <c r="B12229"/>
    </row>
    <row r="12230" spans="1:2">
      <c r="A12230" s="55"/>
      <c r="B12230"/>
    </row>
    <row r="12231" spans="1:2">
      <c r="A12231" s="55"/>
      <c r="B12231"/>
    </row>
    <row r="12232" spans="1:2">
      <c r="A12232" s="55"/>
      <c r="B12232"/>
    </row>
    <row r="12233" spans="1:2">
      <c r="A12233" s="55"/>
      <c r="B12233"/>
    </row>
    <row r="12234" spans="1:2">
      <c r="A12234" s="55"/>
      <c r="B12234"/>
    </row>
    <row r="12235" spans="1:2">
      <c r="A12235" s="55"/>
      <c r="B12235"/>
    </row>
    <row r="12236" spans="1:2">
      <c r="A12236" s="55"/>
      <c r="B12236"/>
    </row>
    <row r="12237" spans="1:2">
      <c r="A12237" s="55"/>
      <c r="B12237"/>
    </row>
    <row r="12238" spans="1:2">
      <c r="A12238" s="55"/>
      <c r="B12238"/>
    </row>
    <row r="12239" spans="1:2">
      <c r="A12239" s="55"/>
      <c r="B12239"/>
    </row>
    <row r="12240" spans="1:2">
      <c r="A12240" s="55"/>
      <c r="B12240"/>
    </row>
    <row r="12241" spans="1:2">
      <c r="A12241" s="55"/>
      <c r="B12241"/>
    </row>
    <row r="12242" spans="1:2">
      <c r="A12242" s="55"/>
      <c r="B12242"/>
    </row>
    <row r="12243" spans="1:2">
      <c r="A12243" s="55"/>
      <c r="B12243"/>
    </row>
    <row r="12244" spans="1:2">
      <c r="A12244" s="55"/>
      <c r="B12244"/>
    </row>
    <row r="12245" spans="1:2">
      <c r="A12245" s="55"/>
      <c r="B12245"/>
    </row>
    <row r="12246" spans="1:2">
      <c r="A12246" s="55"/>
      <c r="B12246"/>
    </row>
    <row r="12247" spans="1:2">
      <c r="A12247" s="55"/>
      <c r="B12247"/>
    </row>
    <row r="12248" spans="1:2">
      <c r="A12248" s="55"/>
      <c r="B12248"/>
    </row>
    <row r="12249" spans="1:2">
      <c r="A12249" s="55"/>
      <c r="B12249"/>
    </row>
    <row r="12250" spans="1:2">
      <c r="A12250" s="55"/>
      <c r="B12250"/>
    </row>
    <row r="12251" spans="1:2">
      <c r="A12251" s="55"/>
      <c r="B12251"/>
    </row>
    <row r="12252" spans="1:2">
      <c r="A12252" s="55"/>
      <c r="B12252"/>
    </row>
    <row r="12253" spans="1:2">
      <c r="A12253" s="55"/>
      <c r="B12253"/>
    </row>
    <row r="12254" spans="1:2">
      <c r="A12254" s="55"/>
      <c r="B12254"/>
    </row>
    <row r="12255" spans="1:2">
      <c r="A12255" s="55"/>
      <c r="B12255"/>
    </row>
    <row r="12256" spans="1:2">
      <c r="A12256" s="55"/>
      <c r="B12256"/>
    </row>
    <row r="12257" spans="1:2">
      <c r="A12257" s="55"/>
      <c r="B12257"/>
    </row>
    <row r="12258" spans="1:2">
      <c r="A12258" s="55"/>
      <c r="B12258"/>
    </row>
    <row r="12259" spans="1:2">
      <c r="A12259" s="55"/>
      <c r="B12259"/>
    </row>
    <row r="12260" spans="1:2">
      <c r="A12260" s="55"/>
      <c r="B12260"/>
    </row>
    <row r="12261" spans="1:2">
      <c r="A12261" s="55"/>
      <c r="B12261"/>
    </row>
    <row r="12262" spans="1:2">
      <c r="A12262" s="55"/>
      <c r="B12262"/>
    </row>
    <row r="12263" spans="1:2">
      <c r="A12263" s="55"/>
      <c r="B12263"/>
    </row>
    <row r="12264" spans="1:2">
      <c r="A12264" s="55"/>
      <c r="B12264"/>
    </row>
    <row r="12265" spans="1:2">
      <c r="A12265" s="55"/>
      <c r="B12265"/>
    </row>
    <row r="12266" spans="1:2">
      <c r="A12266" s="55"/>
      <c r="B12266"/>
    </row>
    <row r="12267" spans="1:2">
      <c r="A12267" s="55"/>
      <c r="B12267"/>
    </row>
    <row r="12268" spans="1:2">
      <c r="A12268" s="55"/>
      <c r="B12268"/>
    </row>
    <row r="12269" spans="1:2">
      <c r="A12269" s="55"/>
      <c r="B12269"/>
    </row>
    <row r="12270" spans="1:2">
      <c r="A12270" s="55"/>
      <c r="B12270"/>
    </row>
    <row r="12271" spans="1:2">
      <c r="A12271" s="55"/>
      <c r="B12271"/>
    </row>
    <row r="12272" spans="1:2">
      <c r="A12272" s="55"/>
      <c r="B12272"/>
    </row>
    <row r="12273" spans="1:2">
      <c r="A12273" s="55"/>
      <c r="B12273"/>
    </row>
    <row r="12274" spans="1:2">
      <c r="A12274" s="55"/>
      <c r="B12274"/>
    </row>
    <row r="12275" spans="1:2">
      <c r="A12275" s="55"/>
      <c r="B12275"/>
    </row>
    <row r="12276" spans="1:2">
      <c r="A12276" s="55"/>
      <c r="B12276"/>
    </row>
    <row r="12277" spans="1:2">
      <c r="A12277" s="55"/>
      <c r="B12277"/>
    </row>
    <row r="12278" spans="1:2">
      <c r="A12278" s="55"/>
      <c r="B12278"/>
    </row>
    <row r="12279" spans="1:2">
      <c r="A12279" s="55"/>
      <c r="B12279"/>
    </row>
    <row r="12280" spans="1:2">
      <c r="A12280" s="55"/>
      <c r="B12280"/>
    </row>
    <row r="12281" spans="1:2">
      <c r="A12281" s="55"/>
      <c r="B12281"/>
    </row>
    <row r="12282" spans="1:2">
      <c r="A12282" s="55"/>
      <c r="B12282"/>
    </row>
    <row r="12283" spans="1:2">
      <c r="A12283" s="55"/>
      <c r="B12283"/>
    </row>
    <row r="12284" spans="1:2">
      <c r="A12284" s="55"/>
      <c r="B12284"/>
    </row>
    <row r="12285" spans="1:2">
      <c r="A12285" s="55"/>
      <c r="B12285"/>
    </row>
    <row r="12286" spans="1:2">
      <c r="A12286" s="55"/>
      <c r="B12286"/>
    </row>
    <row r="12287" spans="1:2">
      <c r="A12287" s="55"/>
      <c r="B12287"/>
    </row>
    <row r="12288" spans="1:2">
      <c r="A12288" s="55"/>
      <c r="B12288"/>
    </row>
    <row r="12289" spans="1:2">
      <c r="A12289" s="55"/>
      <c r="B12289"/>
    </row>
    <row r="12290" spans="1:2">
      <c r="A12290" s="55"/>
      <c r="B12290"/>
    </row>
    <row r="12291" spans="1:2">
      <c r="A12291" s="55"/>
      <c r="B12291"/>
    </row>
    <row r="12292" spans="1:2">
      <c r="A12292" s="55"/>
      <c r="B12292"/>
    </row>
    <row r="12293" spans="1:2">
      <c r="A12293" s="55"/>
      <c r="B12293"/>
    </row>
    <row r="12294" spans="1:2">
      <c r="A12294" s="55"/>
      <c r="B12294"/>
    </row>
    <row r="12295" spans="1:2">
      <c r="A12295" s="55"/>
      <c r="B12295"/>
    </row>
    <row r="12296" spans="1:2">
      <c r="A12296" s="55"/>
      <c r="B12296"/>
    </row>
    <row r="12297" spans="1:2">
      <c r="A12297" s="55"/>
      <c r="B12297"/>
    </row>
    <row r="12298" spans="1:2">
      <c r="A12298" s="55"/>
      <c r="B12298"/>
    </row>
    <row r="12299" spans="1:2">
      <c r="A12299" s="55"/>
      <c r="B12299"/>
    </row>
    <row r="12300" spans="1:2">
      <c r="A12300" s="55"/>
      <c r="B12300"/>
    </row>
    <row r="12301" spans="1:2">
      <c r="A12301" s="55"/>
      <c r="B12301"/>
    </row>
    <row r="12302" spans="1:2">
      <c r="A12302" s="55"/>
      <c r="B12302"/>
    </row>
    <row r="12303" spans="1:2">
      <c r="A12303" s="55"/>
      <c r="B12303"/>
    </row>
    <row r="12304" spans="1:2">
      <c r="A12304" s="55"/>
      <c r="B12304"/>
    </row>
    <row r="12305" spans="1:2">
      <c r="A12305" s="55"/>
      <c r="B12305"/>
    </row>
    <row r="12306" spans="1:2">
      <c r="A12306" s="55"/>
      <c r="B12306"/>
    </row>
    <row r="12307" spans="1:2">
      <c r="A12307" s="55"/>
      <c r="B12307"/>
    </row>
    <row r="12308" spans="1:2">
      <c r="A12308" s="55"/>
      <c r="B12308"/>
    </row>
    <row r="12309" spans="1:2">
      <c r="A12309" s="55"/>
      <c r="B12309"/>
    </row>
    <row r="12310" spans="1:2">
      <c r="A12310" s="55"/>
      <c r="B12310"/>
    </row>
    <row r="12311" spans="1:2">
      <c r="A12311" s="55"/>
      <c r="B12311"/>
    </row>
    <row r="12312" spans="1:2">
      <c r="A12312" s="55"/>
      <c r="B12312"/>
    </row>
    <row r="12313" spans="1:2">
      <c r="A12313" s="55"/>
      <c r="B12313"/>
    </row>
    <row r="12314" spans="1:2">
      <c r="A12314" s="55"/>
      <c r="B12314"/>
    </row>
    <row r="12315" spans="1:2">
      <c r="A12315" s="55"/>
      <c r="B12315"/>
    </row>
    <row r="12316" spans="1:2">
      <c r="A12316" s="55"/>
      <c r="B12316"/>
    </row>
    <row r="12317" spans="1:2">
      <c r="A12317" s="55"/>
      <c r="B12317"/>
    </row>
    <row r="12318" spans="1:2">
      <c r="A12318" s="55"/>
      <c r="B12318"/>
    </row>
    <row r="12319" spans="1:2">
      <c r="A12319" s="55"/>
      <c r="B12319"/>
    </row>
    <row r="12320" spans="1:2">
      <c r="A12320" s="55"/>
      <c r="B12320"/>
    </row>
    <row r="12321" spans="1:2">
      <c r="A12321" s="55"/>
      <c r="B12321"/>
    </row>
    <row r="12322" spans="1:2">
      <c r="A12322" s="55"/>
      <c r="B12322"/>
    </row>
    <row r="12323" spans="1:2">
      <c r="A12323" s="55"/>
      <c r="B12323"/>
    </row>
    <row r="12324" spans="1:2">
      <c r="A12324" s="55"/>
      <c r="B12324"/>
    </row>
    <row r="12325" spans="1:2">
      <c r="A12325" s="55"/>
      <c r="B12325"/>
    </row>
    <row r="12326" spans="1:2">
      <c r="A12326" s="55"/>
      <c r="B12326"/>
    </row>
    <row r="12327" spans="1:2">
      <c r="A12327" s="55"/>
      <c r="B12327"/>
    </row>
    <row r="12328" spans="1:2">
      <c r="A12328" s="55"/>
      <c r="B12328"/>
    </row>
    <row r="12329" spans="1:2">
      <c r="A12329" s="55"/>
      <c r="B12329"/>
    </row>
    <row r="12330" spans="1:2">
      <c r="A12330" s="55"/>
      <c r="B12330"/>
    </row>
    <row r="12331" spans="1:2">
      <c r="A12331" s="55"/>
      <c r="B12331"/>
    </row>
    <row r="12332" spans="1:2">
      <c r="A12332" s="55"/>
      <c r="B12332"/>
    </row>
    <row r="12333" spans="1:2">
      <c r="A12333" s="55"/>
      <c r="B12333"/>
    </row>
    <row r="12334" spans="1:2">
      <c r="A12334" s="55"/>
      <c r="B12334"/>
    </row>
    <row r="12335" spans="1:2">
      <c r="A12335" s="55"/>
      <c r="B12335"/>
    </row>
    <row r="12336" spans="1:2">
      <c r="A12336" s="55"/>
      <c r="B12336"/>
    </row>
    <row r="12337" spans="1:2">
      <c r="A12337" s="55"/>
      <c r="B12337"/>
    </row>
    <row r="12338" spans="1:2">
      <c r="A12338" s="55"/>
      <c r="B12338"/>
    </row>
    <row r="12339" spans="1:2">
      <c r="A12339" s="55"/>
      <c r="B12339"/>
    </row>
    <row r="12340" spans="1:2">
      <c r="A12340" s="55"/>
      <c r="B12340"/>
    </row>
    <row r="12341" spans="1:2">
      <c r="A12341" s="55"/>
      <c r="B12341"/>
    </row>
    <row r="12342" spans="1:2">
      <c r="A12342" s="55"/>
      <c r="B12342"/>
    </row>
    <row r="12343" spans="1:2">
      <c r="A12343" s="55"/>
      <c r="B12343"/>
    </row>
    <row r="12344" spans="1:2">
      <c r="A12344" s="55"/>
      <c r="B12344"/>
    </row>
    <row r="12345" spans="1:2">
      <c r="A12345" s="55"/>
      <c r="B12345"/>
    </row>
    <row r="12346" spans="1:2">
      <c r="A12346" s="55"/>
      <c r="B12346"/>
    </row>
    <row r="12347" spans="1:2">
      <c r="A12347" s="55"/>
      <c r="B12347"/>
    </row>
    <row r="12348" spans="1:2">
      <c r="A12348" s="55"/>
      <c r="B12348"/>
    </row>
    <row r="12349" spans="1:2">
      <c r="A12349" s="55"/>
      <c r="B12349"/>
    </row>
    <row r="12350" spans="1:2">
      <c r="A12350" s="55"/>
      <c r="B12350"/>
    </row>
    <row r="12351" spans="1:2">
      <c r="A12351" s="55"/>
      <c r="B12351"/>
    </row>
    <row r="12352" spans="1:2">
      <c r="A12352" s="55"/>
      <c r="B12352"/>
    </row>
    <row r="12353" spans="1:2">
      <c r="A12353" s="55"/>
      <c r="B12353"/>
    </row>
    <row r="12354" spans="1:2">
      <c r="A12354" s="55"/>
      <c r="B12354"/>
    </row>
    <row r="12355" spans="1:2">
      <c r="A12355" s="55"/>
      <c r="B12355"/>
    </row>
    <row r="12356" spans="1:2">
      <c r="A12356" s="55"/>
      <c r="B12356"/>
    </row>
    <row r="12357" spans="1:2">
      <c r="A12357" s="55"/>
      <c r="B12357"/>
    </row>
    <row r="12358" spans="1:2">
      <c r="A12358" s="55"/>
      <c r="B12358"/>
    </row>
    <row r="12359" spans="1:2">
      <c r="A12359" s="55"/>
      <c r="B12359"/>
    </row>
    <row r="12360" spans="1:2">
      <c r="A12360" s="55"/>
      <c r="B12360"/>
    </row>
    <row r="12361" spans="1:2">
      <c r="A12361" s="55"/>
      <c r="B12361"/>
    </row>
    <row r="12362" spans="1:2">
      <c r="A12362" s="55"/>
      <c r="B12362"/>
    </row>
    <row r="12363" spans="1:2">
      <c r="A12363" s="55"/>
      <c r="B12363"/>
    </row>
    <row r="12364" spans="1:2">
      <c r="A12364" s="55"/>
      <c r="B12364"/>
    </row>
    <row r="12365" spans="1:2">
      <c r="A12365" s="55"/>
      <c r="B12365"/>
    </row>
    <row r="12366" spans="1:2">
      <c r="A12366" s="55"/>
      <c r="B12366"/>
    </row>
    <row r="12367" spans="1:2">
      <c r="A12367" s="55"/>
      <c r="B12367"/>
    </row>
    <row r="12368" spans="1:2">
      <c r="A12368" s="55"/>
      <c r="B12368"/>
    </row>
    <row r="12369" spans="1:2">
      <c r="A12369" s="55"/>
      <c r="B12369"/>
    </row>
    <row r="12370" spans="1:2">
      <c r="A12370" s="55"/>
      <c r="B12370"/>
    </row>
    <row r="12371" spans="1:2">
      <c r="A12371" s="55"/>
      <c r="B12371"/>
    </row>
    <row r="12372" spans="1:2">
      <c r="A12372" s="55"/>
      <c r="B12372"/>
    </row>
    <row r="12373" spans="1:2">
      <c r="A12373" s="55"/>
      <c r="B12373"/>
    </row>
    <row r="12374" spans="1:2">
      <c r="A12374" s="55"/>
      <c r="B12374"/>
    </row>
    <row r="12375" spans="1:2">
      <c r="A12375" s="55"/>
      <c r="B12375"/>
    </row>
    <row r="12376" spans="1:2">
      <c r="A12376" s="55"/>
      <c r="B12376"/>
    </row>
    <row r="12377" spans="1:2">
      <c r="A12377" s="55"/>
      <c r="B12377"/>
    </row>
    <row r="12378" spans="1:2">
      <c r="A12378" s="55"/>
      <c r="B12378"/>
    </row>
    <row r="12379" spans="1:2">
      <c r="A12379" s="55"/>
      <c r="B12379"/>
    </row>
    <row r="12380" spans="1:2">
      <c r="A12380" s="55"/>
      <c r="B12380"/>
    </row>
    <row r="12381" spans="1:2">
      <c r="A12381" s="55"/>
      <c r="B12381"/>
    </row>
    <row r="12382" spans="1:2">
      <c r="A12382" s="55"/>
      <c r="B12382"/>
    </row>
    <row r="12383" spans="1:2">
      <c r="A12383" s="55"/>
      <c r="B12383"/>
    </row>
    <row r="12384" spans="1:2">
      <c r="A12384" s="55"/>
      <c r="B12384"/>
    </row>
    <row r="12385" spans="1:2">
      <c r="A12385" s="55"/>
      <c r="B12385"/>
    </row>
    <row r="12386" spans="1:2">
      <c r="A12386" s="55"/>
      <c r="B12386"/>
    </row>
    <row r="12387" spans="1:2">
      <c r="A12387" s="55"/>
      <c r="B12387"/>
    </row>
    <row r="12388" spans="1:2">
      <c r="A12388" s="55"/>
      <c r="B12388"/>
    </row>
    <row r="12389" spans="1:2">
      <c r="A12389" s="55"/>
      <c r="B12389"/>
    </row>
    <row r="12390" spans="1:2">
      <c r="A12390" s="55"/>
      <c r="B12390"/>
    </row>
    <row r="12391" spans="1:2">
      <c r="A12391" s="55"/>
      <c r="B12391"/>
    </row>
    <row r="12392" spans="1:2">
      <c r="A12392" s="55"/>
      <c r="B12392"/>
    </row>
    <row r="12393" spans="1:2">
      <c r="A12393" s="55"/>
      <c r="B12393"/>
    </row>
    <row r="12394" spans="1:2">
      <c r="A12394" s="55"/>
      <c r="B12394"/>
    </row>
    <row r="12395" spans="1:2">
      <c r="A12395" s="55"/>
      <c r="B12395"/>
    </row>
    <row r="12396" spans="1:2">
      <c r="A12396" s="55"/>
      <c r="B12396"/>
    </row>
    <row r="12397" spans="1:2">
      <c r="A12397" s="55"/>
      <c r="B12397"/>
    </row>
    <row r="12398" spans="1:2">
      <c r="A12398" s="55"/>
      <c r="B12398"/>
    </row>
    <row r="12399" spans="1:2">
      <c r="A12399" s="55"/>
      <c r="B12399"/>
    </row>
    <row r="12400" spans="1:2">
      <c r="A12400" s="55"/>
      <c r="B12400"/>
    </row>
    <row r="12401" spans="1:2">
      <c r="A12401" s="55"/>
      <c r="B12401"/>
    </row>
    <row r="12402" spans="1:2">
      <c r="A12402" s="55"/>
      <c r="B12402"/>
    </row>
    <row r="12403" spans="1:2">
      <c r="A12403" s="55"/>
      <c r="B12403"/>
    </row>
    <row r="12404" spans="1:2">
      <c r="A12404" s="55"/>
      <c r="B12404"/>
    </row>
    <row r="12405" spans="1:2">
      <c r="A12405" s="55"/>
      <c r="B12405"/>
    </row>
    <row r="12406" spans="1:2">
      <c r="A12406" s="55"/>
      <c r="B12406"/>
    </row>
    <row r="12407" spans="1:2">
      <c r="A12407" s="55"/>
      <c r="B12407"/>
    </row>
    <row r="12408" spans="1:2">
      <c r="A12408" s="55"/>
      <c r="B12408"/>
    </row>
    <row r="12409" spans="1:2">
      <c r="A12409" s="55"/>
      <c r="B12409"/>
    </row>
    <row r="12410" spans="1:2">
      <c r="A12410" s="55"/>
      <c r="B12410"/>
    </row>
    <row r="12411" spans="1:2">
      <c r="A12411" s="55"/>
      <c r="B12411"/>
    </row>
    <row r="12412" spans="1:2">
      <c r="A12412" s="55"/>
      <c r="B12412"/>
    </row>
    <row r="12413" spans="1:2">
      <c r="A12413" s="55"/>
      <c r="B12413"/>
    </row>
    <row r="12414" spans="1:2">
      <c r="A12414" s="55"/>
      <c r="B12414"/>
    </row>
    <row r="12415" spans="1:2">
      <c r="A12415" s="55"/>
      <c r="B12415"/>
    </row>
    <row r="12416" spans="1:2">
      <c r="A12416" s="55"/>
      <c r="B12416"/>
    </row>
    <row r="12417" spans="1:2">
      <c r="A12417" s="55"/>
      <c r="B12417"/>
    </row>
    <row r="12418" spans="1:2">
      <c r="A12418" s="55"/>
      <c r="B12418"/>
    </row>
    <row r="12419" spans="1:2">
      <c r="A12419" s="55"/>
      <c r="B12419"/>
    </row>
    <row r="12420" spans="1:2">
      <c r="A12420" s="55"/>
      <c r="B12420"/>
    </row>
    <row r="12421" spans="1:2">
      <c r="A12421" s="55"/>
      <c r="B12421"/>
    </row>
    <row r="12422" spans="1:2">
      <c r="A12422" s="55"/>
      <c r="B12422"/>
    </row>
    <row r="12423" spans="1:2">
      <c r="A12423" s="55"/>
      <c r="B12423"/>
    </row>
    <row r="12424" spans="1:2">
      <c r="A12424" s="55"/>
      <c r="B12424"/>
    </row>
    <row r="12425" spans="1:2">
      <c r="A12425" s="55"/>
      <c r="B12425"/>
    </row>
    <row r="12426" spans="1:2">
      <c r="A12426" s="55"/>
      <c r="B12426"/>
    </row>
    <row r="12427" spans="1:2">
      <c r="A12427" s="55"/>
      <c r="B12427"/>
    </row>
    <row r="12428" spans="1:2">
      <c r="A12428" s="55"/>
      <c r="B12428"/>
    </row>
    <row r="12429" spans="1:2">
      <c r="A12429" s="55"/>
      <c r="B12429"/>
    </row>
    <row r="12430" spans="1:2">
      <c r="A12430" s="55"/>
      <c r="B12430"/>
    </row>
    <row r="12431" spans="1:2">
      <c r="A12431" s="55"/>
      <c r="B12431"/>
    </row>
    <row r="12432" spans="1:2">
      <c r="A12432" s="55"/>
      <c r="B12432"/>
    </row>
    <row r="12433" spans="1:2">
      <c r="A12433" s="55"/>
      <c r="B12433"/>
    </row>
    <row r="12434" spans="1:2">
      <c r="A12434" s="55"/>
      <c r="B12434"/>
    </row>
    <row r="12435" spans="1:2">
      <c r="A12435" s="55"/>
      <c r="B12435"/>
    </row>
    <row r="12436" spans="1:2">
      <c r="A12436" s="55"/>
      <c r="B12436"/>
    </row>
    <row r="12437" spans="1:2">
      <c r="A12437" s="55"/>
      <c r="B12437"/>
    </row>
    <row r="12438" spans="1:2">
      <c r="A12438" s="55"/>
      <c r="B12438"/>
    </row>
    <row r="12439" spans="1:2">
      <c r="A12439" s="55"/>
      <c r="B12439"/>
    </row>
    <row r="12440" spans="1:2">
      <c r="A12440" s="55"/>
      <c r="B12440"/>
    </row>
    <row r="12441" spans="1:2">
      <c r="A12441" s="55"/>
      <c r="B12441"/>
    </row>
    <row r="12442" spans="1:2">
      <c r="A12442" s="55"/>
      <c r="B12442"/>
    </row>
    <row r="12443" spans="1:2">
      <c r="A12443" s="55"/>
      <c r="B12443"/>
    </row>
    <row r="12444" spans="1:2">
      <c r="A12444" s="55"/>
      <c r="B12444"/>
    </row>
    <row r="12445" spans="1:2">
      <c r="A12445" s="55"/>
      <c r="B12445"/>
    </row>
    <row r="12446" spans="1:2">
      <c r="A12446" s="55"/>
      <c r="B12446"/>
    </row>
    <row r="12447" spans="1:2">
      <c r="A12447" s="55"/>
      <c r="B12447"/>
    </row>
    <row r="12448" spans="1:2">
      <c r="A12448" s="55"/>
      <c r="B12448"/>
    </row>
    <row r="12449" spans="1:2">
      <c r="A12449" s="55"/>
      <c r="B12449"/>
    </row>
    <row r="12450" spans="1:2">
      <c r="A12450" s="55"/>
      <c r="B12450"/>
    </row>
    <row r="12451" spans="1:2">
      <c r="A12451" s="55"/>
      <c r="B12451"/>
    </row>
    <row r="12452" spans="1:2">
      <c r="A12452" s="55"/>
      <c r="B12452"/>
    </row>
    <row r="12453" spans="1:2">
      <c r="A12453" s="55"/>
      <c r="B12453"/>
    </row>
    <row r="12454" spans="1:2">
      <c r="A12454" s="55"/>
      <c r="B12454"/>
    </row>
    <row r="12455" spans="1:2">
      <c r="A12455" s="55"/>
      <c r="B12455"/>
    </row>
    <row r="12456" spans="1:2">
      <c r="A12456" s="55"/>
      <c r="B12456"/>
    </row>
    <row r="12457" spans="1:2">
      <c r="A12457" s="55"/>
      <c r="B12457"/>
    </row>
    <row r="12458" spans="1:2">
      <c r="A12458" s="55"/>
      <c r="B12458"/>
    </row>
    <row r="12459" spans="1:2">
      <c r="A12459" s="55"/>
      <c r="B12459"/>
    </row>
    <row r="12460" spans="1:2">
      <c r="A12460" s="55"/>
      <c r="B12460"/>
    </row>
    <row r="12461" spans="1:2">
      <c r="A12461" s="55"/>
      <c r="B12461"/>
    </row>
    <row r="12462" spans="1:2">
      <c r="A12462" s="55"/>
      <c r="B12462"/>
    </row>
    <row r="12463" spans="1:2">
      <c r="A12463" s="55"/>
      <c r="B12463"/>
    </row>
    <row r="12464" spans="1:2">
      <c r="A12464" s="55"/>
      <c r="B12464"/>
    </row>
    <row r="12465" spans="1:2">
      <c r="A12465" s="55"/>
      <c r="B12465"/>
    </row>
    <row r="12466" spans="1:2">
      <c r="A12466" s="55"/>
      <c r="B12466"/>
    </row>
    <row r="12467" spans="1:2">
      <c r="A12467" s="55"/>
      <c r="B12467"/>
    </row>
    <row r="12468" spans="1:2">
      <c r="A12468" s="55"/>
      <c r="B12468"/>
    </row>
    <row r="12469" spans="1:2">
      <c r="A12469" s="55"/>
      <c r="B12469"/>
    </row>
    <row r="12470" spans="1:2">
      <c r="A12470" s="55"/>
      <c r="B12470"/>
    </row>
    <row r="12471" spans="1:2">
      <c r="A12471" s="55"/>
      <c r="B12471"/>
    </row>
    <row r="12472" spans="1:2">
      <c r="A12472" s="55"/>
      <c r="B12472"/>
    </row>
    <row r="12473" spans="1:2">
      <c r="A12473" s="55"/>
      <c r="B12473"/>
    </row>
    <row r="12474" spans="1:2">
      <c r="A12474" s="55"/>
      <c r="B12474"/>
    </row>
    <row r="12475" spans="1:2">
      <c r="A12475" s="55"/>
      <c r="B12475"/>
    </row>
    <row r="12476" spans="1:2">
      <c r="A12476" s="55"/>
      <c r="B12476"/>
    </row>
    <row r="12477" spans="1:2">
      <c r="A12477" s="55"/>
      <c r="B12477"/>
    </row>
    <row r="12478" spans="1:2">
      <c r="A12478" s="55"/>
      <c r="B12478"/>
    </row>
    <row r="12479" spans="1:2">
      <c r="A12479" s="55"/>
      <c r="B12479"/>
    </row>
    <row r="12480" spans="1:2">
      <c r="A12480" s="55"/>
      <c r="B12480"/>
    </row>
    <row r="12481" spans="1:2">
      <c r="A12481" s="55"/>
      <c r="B12481"/>
    </row>
    <row r="12482" spans="1:2">
      <c r="A12482" s="55"/>
      <c r="B12482"/>
    </row>
    <row r="12483" spans="1:2">
      <c r="A12483" s="55"/>
      <c r="B12483"/>
    </row>
    <row r="12484" spans="1:2">
      <c r="A12484" s="55"/>
      <c r="B12484"/>
    </row>
    <row r="12485" spans="1:2">
      <c r="A12485" s="55"/>
      <c r="B12485"/>
    </row>
    <row r="12486" spans="1:2">
      <c r="A12486" s="55"/>
      <c r="B12486"/>
    </row>
    <row r="12487" spans="1:2">
      <c r="A12487" s="55"/>
      <c r="B12487"/>
    </row>
    <row r="12488" spans="1:2">
      <c r="A12488" s="55"/>
      <c r="B12488"/>
    </row>
    <row r="12489" spans="1:2">
      <c r="A12489" s="55"/>
      <c r="B12489"/>
    </row>
    <row r="12490" spans="1:2">
      <c r="A12490" s="55"/>
      <c r="B12490"/>
    </row>
    <row r="12491" spans="1:2">
      <c r="A12491" s="55"/>
      <c r="B12491"/>
    </row>
    <row r="12492" spans="1:2">
      <c r="A12492" s="55"/>
      <c r="B12492"/>
    </row>
    <row r="12493" spans="1:2">
      <c r="A12493" s="55"/>
      <c r="B12493"/>
    </row>
    <row r="12494" spans="1:2">
      <c r="A12494" s="55"/>
      <c r="B12494"/>
    </row>
    <row r="12495" spans="1:2">
      <c r="A12495" s="55"/>
      <c r="B12495"/>
    </row>
    <row r="12496" spans="1:2">
      <c r="A12496" s="55"/>
      <c r="B12496"/>
    </row>
    <row r="12497" spans="1:2">
      <c r="A12497" s="55"/>
      <c r="B12497"/>
    </row>
    <row r="12498" spans="1:2">
      <c r="A12498" s="55"/>
      <c r="B12498"/>
    </row>
    <row r="12499" spans="1:2">
      <c r="A12499" s="55"/>
      <c r="B12499"/>
    </row>
    <row r="12500" spans="1:2">
      <c r="A12500" s="55"/>
      <c r="B12500"/>
    </row>
    <row r="12501" spans="1:2">
      <c r="A12501" s="55"/>
      <c r="B12501"/>
    </row>
    <row r="12502" spans="1:2">
      <c r="A12502" s="55"/>
      <c r="B12502"/>
    </row>
    <row r="12503" spans="1:2">
      <c r="A12503" s="55"/>
      <c r="B12503"/>
    </row>
    <row r="12504" spans="1:2">
      <c r="A12504" s="55"/>
      <c r="B12504"/>
    </row>
    <row r="12505" spans="1:2">
      <c r="A12505" s="55"/>
      <c r="B12505"/>
    </row>
    <row r="12506" spans="1:2">
      <c r="A12506" s="55"/>
      <c r="B12506"/>
    </row>
    <row r="12507" spans="1:2">
      <c r="A12507" s="55"/>
      <c r="B12507"/>
    </row>
    <row r="12508" spans="1:2">
      <c r="A12508" s="55"/>
      <c r="B12508"/>
    </row>
    <row r="12509" spans="1:2">
      <c r="A12509" s="55"/>
      <c r="B12509"/>
    </row>
    <row r="12510" spans="1:2">
      <c r="A12510" s="55"/>
      <c r="B12510"/>
    </row>
    <row r="12511" spans="1:2">
      <c r="A12511" s="55"/>
      <c r="B12511"/>
    </row>
    <row r="12512" spans="1:2">
      <c r="A12512" s="55"/>
      <c r="B12512"/>
    </row>
    <row r="12513" spans="1:2">
      <c r="A12513" s="55"/>
      <c r="B12513"/>
    </row>
    <row r="12514" spans="1:2">
      <c r="A12514" s="55"/>
      <c r="B12514"/>
    </row>
    <row r="12515" spans="1:2">
      <c r="A12515" s="55"/>
      <c r="B12515"/>
    </row>
    <row r="12516" spans="1:2">
      <c r="A12516" s="55"/>
      <c r="B12516"/>
    </row>
    <row r="12517" spans="1:2">
      <c r="A12517" s="55"/>
      <c r="B12517"/>
    </row>
    <row r="12518" spans="1:2">
      <c r="A12518" s="55"/>
      <c r="B12518"/>
    </row>
    <row r="12519" spans="1:2">
      <c r="A12519" s="55"/>
      <c r="B12519"/>
    </row>
    <row r="12520" spans="1:2">
      <c r="A12520" s="55"/>
      <c r="B12520"/>
    </row>
    <row r="12521" spans="1:2">
      <c r="A12521" s="55"/>
      <c r="B12521"/>
    </row>
    <row r="12522" spans="1:2">
      <c r="A12522" s="55"/>
      <c r="B12522"/>
    </row>
    <row r="12523" spans="1:2">
      <c r="A12523" s="55"/>
      <c r="B12523"/>
    </row>
    <row r="12524" spans="1:2">
      <c r="A12524" s="55"/>
      <c r="B12524"/>
    </row>
    <row r="12525" spans="1:2">
      <c r="A12525" s="55"/>
      <c r="B12525"/>
    </row>
    <row r="12526" spans="1:2">
      <c r="A12526" s="55"/>
      <c r="B12526"/>
    </row>
    <row r="12527" spans="1:2">
      <c r="A12527" s="55"/>
      <c r="B12527"/>
    </row>
    <row r="12528" spans="1:2">
      <c r="A12528" s="55"/>
      <c r="B12528"/>
    </row>
    <row r="12529" spans="1:2">
      <c r="A12529" s="55"/>
      <c r="B12529"/>
    </row>
    <row r="12530" spans="1:2">
      <c r="A12530" s="55"/>
      <c r="B12530"/>
    </row>
    <row r="12531" spans="1:2">
      <c r="A12531" s="55"/>
      <c r="B12531"/>
    </row>
    <row r="12532" spans="1:2">
      <c r="A12532" s="55"/>
      <c r="B12532"/>
    </row>
    <row r="12533" spans="1:2">
      <c r="A12533" s="55"/>
      <c r="B12533"/>
    </row>
    <row r="12534" spans="1:2">
      <c r="A12534" s="55"/>
      <c r="B12534"/>
    </row>
    <row r="12535" spans="1:2">
      <c r="A12535" s="55"/>
      <c r="B12535"/>
    </row>
    <row r="12536" spans="1:2">
      <c r="A12536" s="55"/>
      <c r="B12536"/>
    </row>
    <row r="12537" spans="1:2">
      <c r="A12537" s="55"/>
      <c r="B12537"/>
    </row>
    <row r="12538" spans="1:2">
      <c r="A12538" s="55"/>
      <c r="B12538"/>
    </row>
    <row r="12539" spans="1:2">
      <c r="A12539" s="55"/>
      <c r="B12539"/>
    </row>
    <row r="12540" spans="1:2">
      <c r="A12540" s="55"/>
      <c r="B12540"/>
    </row>
    <row r="12541" spans="1:2">
      <c r="A12541" s="55"/>
      <c r="B12541"/>
    </row>
    <row r="12542" spans="1:2">
      <c r="A12542" s="55"/>
      <c r="B12542"/>
    </row>
    <row r="12543" spans="1:2">
      <c r="A12543" s="55"/>
      <c r="B12543"/>
    </row>
    <row r="12544" spans="1:2">
      <c r="A12544" s="55"/>
      <c r="B12544"/>
    </row>
    <row r="12545" spans="1:2">
      <c r="A12545" s="55"/>
      <c r="B12545"/>
    </row>
    <row r="12546" spans="1:2">
      <c r="A12546" s="55"/>
      <c r="B12546"/>
    </row>
    <row r="12547" spans="1:2">
      <c r="A12547" s="55"/>
      <c r="B12547"/>
    </row>
    <row r="12548" spans="1:2">
      <c r="A12548" s="55"/>
      <c r="B12548"/>
    </row>
    <row r="12549" spans="1:2">
      <c r="A12549" s="55"/>
      <c r="B12549"/>
    </row>
    <row r="12550" spans="1:2">
      <c r="A12550" s="55"/>
      <c r="B12550"/>
    </row>
    <row r="12551" spans="1:2">
      <c r="A12551" s="55"/>
      <c r="B12551"/>
    </row>
    <row r="12552" spans="1:2">
      <c r="A12552" s="55"/>
      <c r="B12552"/>
    </row>
    <row r="12553" spans="1:2">
      <c r="A12553" s="55"/>
      <c r="B12553"/>
    </row>
    <row r="12554" spans="1:2">
      <c r="A12554" s="55"/>
      <c r="B12554"/>
    </row>
    <row r="12555" spans="1:2">
      <c r="A12555" s="55"/>
      <c r="B12555"/>
    </row>
    <row r="12556" spans="1:2">
      <c r="A12556" s="55"/>
      <c r="B12556"/>
    </row>
    <row r="12557" spans="1:2">
      <c r="A12557" s="55"/>
      <c r="B12557"/>
    </row>
    <row r="12558" spans="1:2">
      <c r="A12558" s="55"/>
      <c r="B12558"/>
    </row>
    <row r="12559" spans="1:2">
      <c r="A12559" s="55"/>
      <c r="B12559"/>
    </row>
    <row r="12560" spans="1:2">
      <c r="A12560" s="55"/>
      <c r="B12560"/>
    </row>
    <row r="12561" spans="1:2">
      <c r="A12561" s="55"/>
      <c r="B12561"/>
    </row>
    <row r="12562" spans="1:2">
      <c r="A12562" s="55"/>
      <c r="B12562"/>
    </row>
    <row r="12563" spans="1:2">
      <c r="A12563" s="55"/>
      <c r="B12563"/>
    </row>
    <row r="12564" spans="1:2">
      <c r="A12564" s="55"/>
      <c r="B12564"/>
    </row>
    <row r="12565" spans="1:2">
      <c r="A12565" s="55"/>
      <c r="B12565"/>
    </row>
    <row r="12566" spans="1:2">
      <c r="A12566" s="55"/>
      <c r="B12566"/>
    </row>
    <row r="12567" spans="1:2">
      <c r="A12567" s="55"/>
      <c r="B12567"/>
    </row>
    <row r="12568" spans="1:2">
      <c r="A12568" s="55"/>
      <c r="B12568"/>
    </row>
    <row r="12569" spans="1:2">
      <c r="A12569" s="55"/>
      <c r="B12569"/>
    </row>
    <row r="12570" spans="1:2">
      <c r="A12570" s="55"/>
      <c r="B12570"/>
    </row>
    <row r="12571" spans="1:2">
      <c r="A12571" s="55"/>
      <c r="B12571"/>
    </row>
    <row r="12572" spans="1:2">
      <c r="A12572" s="55"/>
      <c r="B12572"/>
    </row>
    <row r="12573" spans="1:2">
      <c r="A12573" s="55"/>
      <c r="B12573"/>
    </row>
    <row r="12574" spans="1:2">
      <c r="A12574" s="55"/>
      <c r="B12574"/>
    </row>
    <row r="12575" spans="1:2">
      <c r="A12575" s="55"/>
      <c r="B12575"/>
    </row>
    <row r="12576" spans="1:2">
      <c r="A12576" s="55"/>
      <c r="B12576"/>
    </row>
    <row r="12577" spans="1:2">
      <c r="A12577" s="55"/>
      <c r="B12577"/>
    </row>
    <row r="12578" spans="1:2">
      <c r="A12578" s="55"/>
      <c r="B12578"/>
    </row>
    <row r="12579" spans="1:2">
      <c r="A12579" s="55"/>
      <c r="B12579"/>
    </row>
    <row r="12580" spans="1:2">
      <c r="A12580" s="55"/>
      <c r="B12580"/>
    </row>
    <row r="12581" spans="1:2">
      <c r="A12581" s="55"/>
      <c r="B12581"/>
    </row>
    <row r="12582" spans="1:2">
      <c r="A12582" s="55"/>
      <c r="B12582"/>
    </row>
    <row r="12583" spans="1:2">
      <c r="A12583" s="55"/>
      <c r="B12583"/>
    </row>
    <row r="12584" spans="1:2">
      <c r="A12584" s="55"/>
      <c r="B12584"/>
    </row>
    <row r="12585" spans="1:2">
      <c r="A12585" s="55"/>
      <c r="B12585"/>
    </row>
    <row r="12586" spans="1:2">
      <c r="A12586" s="55"/>
      <c r="B12586"/>
    </row>
    <row r="12587" spans="1:2">
      <c r="A12587" s="55"/>
      <c r="B12587"/>
    </row>
    <row r="12588" spans="1:2">
      <c r="A12588" s="55"/>
      <c r="B12588"/>
    </row>
    <row r="12589" spans="1:2">
      <c r="A12589" s="55"/>
      <c r="B12589"/>
    </row>
    <row r="12590" spans="1:2">
      <c r="A12590" s="55"/>
      <c r="B12590"/>
    </row>
    <row r="12591" spans="1:2">
      <c r="A12591" s="55"/>
      <c r="B12591"/>
    </row>
    <row r="12592" spans="1:2">
      <c r="A12592" s="55"/>
      <c r="B12592"/>
    </row>
    <row r="12593" spans="1:2">
      <c r="A12593" s="55"/>
      <c r="B12593"/>
    </row>
    <row r="12594" spans="1:2">
      <c r="A12594" s="55"/>
      <c r="B12594"/>
    </row>
    <row r="12595" spans="1:2">
      <c r="A12595" s="55"/>
      <c r="B12595"/>
    </row>
    <row r="12596" spans="1:2">
      <c r="A12596" s="55"/>
      <c r="B12596"/>
    </row>
    <row r="12597" spans="1:2">
      <c r="A12597" s="55"/>
      <c r="B12597"/>
    </row>
    <row r="12598" spans="1:2">
      <c r="A12598" s="55"/>
      <c r="B12598"/>
    </row>
    <row r="12599" spans="1:2">
      <c r="A12599" s="55"/>
      <c r="B12599"/>
    </row>
    <row r="12600" spans="1:2">
      <c r="A12600" s="55"/>
      <c r="B12600"/>
    </row>
    <row r="12601" spans="1:2">
      <c r="A12601" s="55"/>
      <c r="B12601"/>
    </row>
    <row r="12602" spans="1:2">
      <c r="A12602" s="55"/>
      <c r="B12602"/>
    </row>
    <row r="12603" spans="1:2">
      <c r="A12603" s="55"/>
      <c r="B12603"/>
    </row>
    <row r="12604" spans="1:2">
      <c r="A12604" s="55"/>
      <c r="B12604"/>
    </row>
    <row r="12605" spans="1:2">
      <c r="A12605" s="55"/>
      <c r="B12605"/>
    </row>
    <row r="12606" spans="1:2">
      <c r="A12606" s="55"/>
      <c r="B12606"/>
    </row>
    <row r="12607" spans="1:2">
      <c r="A12607" s="55"/>
      <c r="B12607"/>
    </row>
    <row r="12608" spans="1:2">
      <c r="A12608" s="55"/>
      <c r="B12608"/>
    </row>
    <row r="12609" spans="1:2">
      <c r="A12609" s="55"/>
      <c r="B12609"/>
    </row>
    <row r="12610" spans="1:2">
      <c r="A12610" s="55"/>
      <c r="B12610"/>
    </row>
    <row r="12611" spans="1:2">
      <c r="A12611" s="55"/>
      <c r="B12611"/>
    </row>
    <row r="12612" spans="1:2">
      <c r="A12612" s="55"/>
      <c r="B12612"/>
    </row>
    <row r="12613" spans="1:2">
      <c r="A12613" s="55"/>
      <c r="B12613"/>
    </row>
    <row r="12614" spans="1:2">
      <c r="A12614" s="55"/>
      <c r="B12614"/>
    </row>
    <row r="12615" spans="1:2">
      <c r="A12615" s="55"/>
      <c r="B12615"/>
    </row>
    <row r="12616" spans="1:2">
      <c r="A12616" s="55"/>
      <c r="B12616"/>
    </row>
    <row r="12617" spans="1:2">
      <c r="A12617" s="55"/>
      <c r="B12617"/>
    </row>
    <row r="12618" spans="1:2">
      <c r="A12618" s="55"/>
      <c r="B12618"/>
    </row>
    <row r="12619" spans="1:2">
      <c r="A12619" s="55"/>
      <c r="B12619"/>
    </row>
    <row r="12620" spans="1:2">
      <c r="A12620" s="55"/>
      <c r="B12620"/>
    </row>
    <row r="12621" spans="1:2">
      <c r="A12621" s="55"/>
      <c r="B12621"/>
    </row>
    <row r="12622" spans="1:2">
      <c r="A12622" s="55"/>
      <c r="B12622"/>
    </row>
    <row r="12623" spans="1:2">
      <c r="A12623" s="55"/>
      <c r="B12623"/>
    </row>
    <row r="12624" spans="1:2">
      <c r="A12624" s="55"/>
      <c r="B12624"/>
    </row>
    <row r="12625" spans="1:2">
      <c r="A12625" s="55"/>
      <c r="B12625"/>
    </row>
    <row r="12626" spans="1:2">
      <c r="A12626" s="55"/>
      <c r="B12626"/>
    </row>
    <row r="12627" spans="1:2">
      <c r="A12627" s="55"/>
      <c r="B12627"/>
    </row>
    <row r="12628" spans="1:2">
      <c r="A12628" s="55"/>
      <c r="B12628"/>
    </row>
    <row r="12629" spans="1:2">
      <c r="A12629" s="55"/>
      <c r="B12629"/>
    </row>
    <row r="12630" spans="1:2">
      <c r="A12630" s="55"/>
      <c r="B12630"/>
    </row>
    <row r="12631" spans="1:2">
      <c r="A12631" s="55"/>
      <c r="B12631"/>
    </row>
    <row r="12632" spans="1:2">
      <c r="A12632" s="55"/>
      <c r="B12632"/>
    </row>
    <row r="12633" spans="1:2">
      <c r="A12633" s="55"/>
      <c r="B12633"/>
    </row>
    <row r="12634" spans="1:2">
      <c r="A12634" s="55"/>
      <c r="B12634"/>
    </row>
    <row r="12635" spans="1:2">
      <c r="A12635" s="55"/>
      <c r="B12635"/>
    </row>
    <row r="12636" spans="1:2">
      <c r="A12636" s="55"/>
      <c r="B12636"/>
    </row>
    <row r="12637" spans="1:2">
      <c r="A12637" s="55"/>
      <c r="B12637"/>
    </row>
    <row r="12638" spans="1:2">
      <c r="A12638" s="55"/>
      <c r="B12638"/>
    </row>
    <row r="12639" spans="1:2">
      <c r="A12639" s="55"/>
      <c r="B12639"/>
    </row>
    <row r="12640" spans="1:2">
      <c r="A12640" s="55"/>
      <c r="B12640"/>
    </row>
    <row r="12641" spans="1:2">
      <c r="A12641" s="55"/>
      <c r="B12641"/>
    </row>
    <row r="12642" spans="1:2">
      <c r="A12642" s="55"/>
      <c r="B12642"/>
    </row>
    <row r="12643" spans="1:2">
      <c r="A12643" s="55"/>
      <c r="B12643"/>
    </row>
    <row r="12644" spans="1:2">
      <c r="A12644" s="55"/>
      <c r="B12644"/>
    </row>
    <row r="12645" spans="1:2">
      <c r="A12645" s="55"/>
      <c r="B12645"/>
    </row>
    <row r="12646" spans="1:2">
      <c r="A12646" s="55"/>
      <c r="B12646"/>
    </row>
    <row r="12647" spans="1:2">
      <c r="A12647" s="55"/>
      <c r="B12647"/>
    </row>
    <row r="12648" spans="1:2">
      <c r="A12648" s="55"/>
      <c r="B12648"/>
    </row>
    <row r="12649" spans="1:2">
      <c r="A12649" s="55"/>
      <c r="B12649"/>
    </row>
    <row r="12650" spans="1:2">
      <c r="A12650" s="55"/>
      <c r="B12650"/>
    </row>
    <row r="12651" spans="1:2">
      <c r="A12651" s="55"/>
      <c r="B12651"/>
    </row>
    <row r="12652" spans="1:2">
      <c r="A12652" s="55"/>
      <c r="B12652"/>
    </row>
    <row r="12653" spans="1:2">
      <c r="A12653" s="55"/>
      <c r="B12653"/>
    </row>
    <row r="12654" spans="1:2">
      <c r="A12654" s="55"/>
      <c r="B12654"/>
    </row>
    <row r="12655" spans="1:2">
      <c r="A12655" s="55"/>
      <c r="B12655"/>
    </row>
    <row r="12656" spans="1:2">
      <c r="A12656" s="55"/>
      <c r="B12656"/>
    </row>
    <row r="12657" spans="1:2">
      <c r="A12657" s="55"/>
      <c r="B12657"/>
    </row>
    <row r="12658" spans="1:2">
      <c r="A12658" s="55"/>
      <c r="B12658"/>
    </row>
    <row r="12659" spans="1:2">
      <c r="A12659" s="55"/>
      <c r="B12659"/>
    </row>
    <row r="12660" spans="1:2">
      <c r="A12660" s="55"/>
      <c r="B12660"/>
    </row>
    <row r="12661" spans="1:2">
      <c r="A12661" s="55"/>
      <c r="B12661"/>
    </row>
    <row r="12662" spans="1:2">
      <c r="A12662" s="55"/>
      <c r="B12662"/>
    </row>
    <row r="12663" spans="1:2">
      <c r="A12663" s="55"/>
      <c r="B12663"/>
    </row>
    <row r="12664" spans="1:2">
      <c r="A12664" s="55"/>
      <c r="B12664"/>
    </row>
    <row r="12665" spans="1:2">
      <c r="A12665" s="55"/>
      <c r="B12665"/>
    </row>
    <row r="12666" spans="1:2">
      <c r="A12666" s="55"/>
      <c r="B12666"/>
    </row>
    <row r="12667" spans="1:2">
      <c r="A12667" s="55"/>
      <c r="B12667"/>
    </row>
    <row r="12668" spans="1:2">
      <c r="A12668" s="55"/>
      <c r="B12668"/>
    </row>
    <row r="12669" spans="1:2">
      <c r="A12669" s="55"/>
      <c r="B12669"/>
    </row>
    <row r="12670" spans="1:2">
      <c r="A12670" s="55"/>
      <c r="B12670"/>
    </row>
    <row r="12671" spans="1:2">
      <c r="A12671" s="55"/>
      <c r="B12671"/>
    </row>
    <row r="12672" spans="1:2">
      <c r="A12672" s="55"/>
      <c r="B12672"/>
    </row>
    <row r="12673" spans="1:2">
      <c r="A12673" s="55"/>
      <c r="B12673"/>
    </row>
    <row r="12674" spans="1:2">
      <c r="A12674" s="55"/>
      <c r="B12674"/>
    </row>
    <row r="12675" spans="1:2">
      <c r="A12675" s="55"/>
      <c r="B12675"/>
    </row>
    <row r="12676" spans="1:2">
      <c r="A12676" s="55"/>
      <c r="B12676"/>
    </row>
    <row r="12677" spans="1:2">
      <c r="A12677" s="55"/>
      <c r="B12677"/>
    </row>
    <row r="12678" spans="1:2">
      <c r="A12678" s="55"/>
      <c r="B12678"/>
    </row>
    <row r="12679" spans="1:2">
      <c r="A12679" s="55"/>
      <c r="B12679"/>
    </row>
    <row r="12680" spans="1:2">
      <c r="A12680" s="55"/>
      <c r="B12680"/>
    </row>
    <row r="12681" spans="1:2">
      <c r="A12681" s="55"/>
      <c r="B12681"/>
    </row>
    <row r="12682" spans="1:2">
      <c r="A12682" s="55"/>
      <c r="B12682"/>
    </row>
    <row r="12683" spans="1:2">
      <c r="A12683" s="55"/>
      <c r="B12683"/>
    </row>
    <row r="12684" spans="1:2">
      <c r="A12684" s="55"/>
      <c r="B12684"/>
    </row>
    <row r="12685" spans="1:2">
      <c r="A12685" s="55"/>
      <c r="B12685"/>
    </row>
    <row r="12686" spans="1:2">
      <c r="A12686" s="55"/>
      <c r="B12686"/>
    </row>
    <row r="12687" spans="1:2">
      <c r="A12687" s="55"/>
      <c r="B12687"/>
    </row>
    <row r="12688" spans="1:2">
      <c r="A12688" s="55"/>
      <c r="B12688"/>
    </row>
    <row r="12689" spans="1:2">
      <c r="A12689" s="55"/>
      <c r="B12689"/>
    </row>
    <row r="12690" spans="1:2">
      <c r="A12690" s="55"/>
      <c r="B12690"/>
    </row>
    <row r="12691" spans="1:2">
      <c r="A12691" s="55"/>
      <c r="B12691"/>
    </row>
    <row r="12692" spans="1:2">
      <c r="A12692" s="55"/>
      <c r="B12692"/>
    </row>
    <row r="12693" spans="1:2">
      <c r="A12693" s="55"/>
      <c r="B12693"/>
    </row>
    <row r="12694" spans="1:2">
      <c r="A12694" s="55"/>
      <c r="B12694"/>
    </row>
    <row r="12695" spans="1:2">
      <c r="A12695" s="55"/>
      <c r="B12695"/>
    </row>
    <row r="12696" spans="1:2">
      <c r="A12696" s="55"/>
      <c r="B12696"/>
    </row>
    <row r="12697" spans="1:2">
      <c r="A12697" s="55"/>
      <c r="B12697"/>
    </row>
    <row r="12698" spans="1:2">
      <c r="A12698" s="55"/>
      <c r="B12698"/>
    </row>
    <row r="12699" spans="1:2">
      <c r="A12699" s="55"/>
      <c r="B12699"/>
    </row>
    <row r="12700" spans="1:2">
      <c r="A12700" s="55"/>
      <c r="B12700"/>
    </row>
    <row r="12701" spans="1:2">
      <c r="A12701" s="55"/>
      <c r="B12701"/>
    </row>
    <row r="12702" spans="1:2">
      <c r="A12702" s="55"/>
      <c r="B12702"/>
    </row>
    <row r="12703" spans="1:2">
      <c r="A12703" s="55"/>
      <c r="B12703"/>
    </row>
    <row r="12704" spans="1:2">
      <c r="A12704" s="55"/>
      <c r="B12704"/>
    </row>
    <row r="12705" spans="1:2">
      <c r="A12705" s="55"/>
      <c r="B12705"/>
    </row>
    <row r="12706" spans="1:2">
      <c r="A12706" s="55"/>
      <c r="B12706"/>
    </row>
    <row r="12707" spans="1:2">
      <c r="A12707" s="55"/>
      <c r="B12707"/>
    </row>
    <row r="12708" spans="1:2">
      <c r="A12708" s="55"/>
      <c r="B12708"/>
    </row>
    <row r="12709" spans="1:2">
      <c r="A12709" s="55"/>
      <c r="B12709"/>
    </row>
    <row r="12710" spans="1:2">
      <c r="A12710" s="55"/>
      <c r="B12710"/>
    </row>
    <row r="12711" spans="1:2">
      <c r="A12711" s="55"/>
      <c r="B12711"/>
    </row>
    <row r="12712" spans="1:2">
      <c r="A12712" s="55"/>
      <c r="B12712"/>
    </row>
    <row r="12713" spans="1:2">
      <c r="A12713" s="55"/>
      <c r="B12713"/>
    </row>
    <row r="12714" spans="1:2">
      <c r="A12714" s="55"/>
      <c r="B12714"/>
    </row>
    <row r="12715" spans="1:2">
      <c r="A12715" s="55"/>
      <c r="B12715"/>
    </row>
    <row r="12716" spans="1:2">
      <c r="A12716" s="55"/>
      <c r="B12716"/>
    </row>
    <row r="12717" spans="1:2">
      <c r="A12717" s="55"/>
      <c r="B12717"/>
    </row>
    <row r="12718" spans="1:2">
      <c r="A12718" s="55"/>
      <c r="B12718"/>
    </row>
    <row r="12719" spans="1:2">
      <c r="A12719" s="55"/>
      <c r="B12719"/>
    </row>
    <row r="12720" spans="1:2">
      <c r="A12720" s="55"/>
      <c r="B12720"/>
    </row>
    <row r="12721" spans="1:2">
      <c r="A12721" s="55"/>
      <c r="B12721"/>
    </row>
    <row r="12722" spans="1:2">
      <c r="A12722" s="55"/>
      <c r="B12722"/>
    </row>
    <row r="12723" spans="1:2">
      <c r="A12723" s="55"/>
      <c r="B12723"/>
    </row>
    <row r="12724" spans="1:2">
      <c r="A12724" s="55"/>
      <c r="B12724"/>
    </row>
    <row r="12725" spans="1:2">
      <c r="A12725" s="55"/>
      <c r="B12725"/>
    </row>
    <row r="12726" spans="1:2">
      <c r="A12726" s="55"/>
      <c r="B12726"/>
    </row>
    <row r="12727" spans="1:2">
      <c r="A12727" s="55"/>
      <c r="B12727"/>
    </row>
    <row r="12728" spans="1:2">
      <c r="A12728" s="55"/>
      <c r="B12728"/>
    </row>
    <row r="12729" spans="1:2">
      <c r="A12729" s="55"/>
      <c r="B12729"/>
    </row>
    <row r="12730" spans="1:2">
      <c r="A12730" s="55"/>
      <c r="B12730"/>
    </row>
    <row r="12731" spans="1:2">
      <c r="A12731" s="55"/>
      <c r="B12731"/>
    </row>
    <row r="12732" spans="1:2">
      <c r="A12732" s="55"/>
      <c r="B12732"/>
    </row>
    <row r="12733" spans="1:2">
      <c r="A12733" s="55"/>
      <c r="B12733"/>
    </row>
    <row r="12734" spans="1:2">
      <c r="A12734" s="55"/>
      <c r="B12734"/>
    </row>
    <row r="12735" spans="1:2">
      <c r="A12735" s="55"/>
      <c r="B12735"/>
    </row>
    <row r="12736" spans="1:2">
      <c r="A12736" s="55"/>
      <c r="B12736"/>
    </row>
    <row r="12737" spans="1:2">
      <c r="A12737" s="55"/>
      <c r="B12737"/>
    </row>
    <row r="12738" spans="1:2">
      <c r="A12738" s="55"/>
      <c r="B12738"/>
    </row>
    <row r="12739" spans="1:2">
      <c r="A12739" s="55"/>
      <c r="B12739"/>
    </row>
    <row r="12740" spans="1:2">
      <c r="A12740" s="55"/>
      <c r="B12740"/>
    </row>
    <row r="12741" spans="1:2">
      <c r="A12741" s="55"/>
      <c r="B12741"/>
    </row>
    <row r="12742" spans="1:2">
      <c r="A12742" s="55"/>
      <c r="B12742"/>
    </row>
    <row r="12743" spans="1:2">
      <c r="A12743" s="55"/>
      <c r="B12743"/>
    </row>
    <row r="12744" spans="1:2">
      <c r="A12744" s="55"/>
      <c r="B12744"/>
    </row>
    <row r="12745" spans="1:2">
      <c r="A12745" s="55"/>
      <c r="B12745"/>
    </row>
    <row r="12746" spans="1:2">
      <c r="A12746" s="55"/>
      <c r="B12746"/>
    </row>
    <row r="12747" spans="1:2">
      <c r="A12747" s="55"/>
      <c r="B12747"/>
    </row>
    <row r="12748" spans="1:2">
      <c r="A12748" s="55"/>
      <c r="B12748"/>
    </row>
    <row r="12749" spans="1:2">
      <c r="A12749" s="55"/>
      <c r="B12749"/>
    </row>
    <row r="12750" spans="1:2">
      <c r="A12750" s="55"/>
      <c r="B12750"/>
    </row>
    <row r="12751" spans="1:2">
      <c r="A12751" s="55"/>
      <c r="B12751"/>
    </row>
    <row r="12752" spans="1:2">
      <c r="A12752" s="55"/>
      <c r="B12752"/>
    </row>
    <row r="12753" spans="1:2">
      <c r="A12753" s="55"/>
      <c r="B12753"/>
    </row>
    <row r="12754" spans="1:2">
      <c r="A12754" s="55"/>
      <c r="B12754"/>
    </row>
    <row r="12755" spans="1:2">
      <c r="A12755" s="55"/>
      <c r="B12755"/>
    </row>
    <row r="12756" spans="1:2">
      <c r="A12756" s="55"/>
      <c r="B12756"/>
    </row>
    <row r="12757" spans="1:2">
      <c r="A12757" s="55"/>
      <c r="B12757"/>
    </row>
    <row r="12758" spans="1:2">
      <c r="A12758" s="55"/>
      <c r="B12758"/>
    </row>
    <row r="12759" spans="1:2">
      <c r="A12759" s="55"/>
      <c r="B12759"/>
    </row>
    <row r="12760" spans="1:2">
      <c r="A12760" s="55"/>
      <c r="B12760"/>
    </row>
    <row r="12761" spans="1:2">
      <c r="A12761" s="55"/>
      <c r="B12761"/>
    </row>
    <row r="12762" spans="1:2">
      <c r="A12762" s="55"/>
      <c r="B12762"/>
    </row>
    <row r="12763" spans="1:2">
      <c r="A12763" s="55"/>
      <c r="B12763"/>
    </row>
    <row r="12764" spans="1:2">
      <c r="A12764" s="55"/>
      <c r="B12764"/>
    </row>
    <row r="12765" spans="1:2">
      <c r="A12765" s="55"/>
      <c r="B12765"/>
    </row>
    <row r="12766" spans="1:2">
      <c r="A12766" s="55"/>
      <c r="B12766"/>
    </row>
    <row r="12767" spans="1:2">
      <c r="A12767" s="55"/>
      <c r="B12767"/>
    </row>
    <row r="12768" spans="1:2">
      <c r="A12768" s="55"/>
      <c r="B12768"/>
    </row>
    <row r="12769" spans="1:2">
      <c r="A12769" s="55"/>
      <c r="B12769"/>
    </row>
    <row r="12770" spans="1:2">
      <c r="A12770" s="55"/>
      <c r="B12770"/>
    </row>
    <row r="12771" spans="1:2">
      <c r="A12771" s="55"/>
      <c r="B12771"/>
    </row>
    <row r="12772" spans="1:2">
      <c r="A12772" s="55"/>
      <c r="B12772"/>
    </row>
    <row r="12773" spans="1:2">
      <c r="A12773" s="55"/>
      <c r="B12773"/>
    </row>
    <row r="12774" spans="1:2">
      <c r="A12774" s="55"/>
      <c r="B12774"/>
    </row>
    <row r="12775" spans="1:2">
      <c r="A12775" s="55"/>
      <c r="B12775"/>
    </row>
    <row r="12776" spans="1:2">
      <c r="A12776" s="55"/>
      <c r="B12776"/>
    </row>
    <row r="12777" spans="1:2">
      <c r="A12777" s="55"/>
      <c r="B12777"/>
    </row>
    <row r="12778" spans="1:2">
      <c r="A12778" s="55"/>
      <c r="B12778"/>
    </row>
    <row r="12779" spans="1:2">
      <c r="A12779" s="55"/>
      <c r="B12779"/>
    </row>
    <row r="12780" spans="1:2">
      <c r="A12780" s="55"/>
      <c r="B12780"/>
    </row>
    <row r="12781" spans="1:2">
      <c r="A12781" s="55"/>
      <c r="B12781"/>
    </row>
    <row r="12782" spans="1:2">
      <c r="A12782" s="55"/>
      <c r="B12782"/>
    </row>
    <row r="12783" spans="1:2">
      <c r="A12783" s="55"/>
      <c r="B12783"/>
    </row>
    <row r="12784" spans="1:2">
      <c r="A12784" s="55"/>
      <c r="B12784"/>
    </row>
    <row r="12785" spans="1:2">
      <c r="A12785" s="55"/>
      <c r="B12785"/>
    </row>
    <row r="12786" spans="1:2">
      <c r="A12786" s="55"/>
      <c r="B12786"/>
    </row>
    <row r="12787" spans="1:2">
      <c r="A12787" s="55"/>
      <c r="B12787"/>
    </row>
    <row r="12788" spans="1:2">
      <c r="A12788" s="55"/>
      <c r="B12788"/>
    </row>
    <row r="12789" spans="1:2">
      <c r="A12789" s="55"/>
      <c r="B12789"/>
    </row>
    <row r="12790" spans="1:2">
      <c r="A12790" s="55"/>
      <c r="B12790"/>
    </row>
    <row r="12791" spans="1:2">
      <c r="A12791" s="55"/>
      <c r="B12791"/>
    </row>
    <row r="12792" spans="1:2">
      <c r="A12792" s="55"/>
      <c r="B12792"/>
    </row>
    <row r="12793" spans="1:2">
      <c r="A12793" s="55"/>
      <c r="B12793"/>
    </row>
    <row r="12794" spans="1:2">
      <c r="A12794" s="55"/>
      <c r="B12794"/>
    </row>
    <row r="12795" spans="1:2">
      <c r="A12795" s="55"/>
      <c r="B12795"/>
    </row>
    <row r="12796" spans="1:2">
      <c r="A12796" s="55"/>
      <c r="B12796"/>
    </row>
    <row r="12797" spans="1:2">
      <c r="A12797" s="55"/>
      <c r="B12797"/>
    </row>
    <row r="12798" spans="1:2">
      <c r="A12798" s="55"/>
      <c r="B12798"/>
    </row>
    <row r="12799" spans="1:2">
      <c r="A12799" s="55"/>
      <c r="B12799"/>
    </row>
    <row r="12800" spans="1:2">
      <c r="A12800" s="55"/>
      <c r="B12800"/>
    </row>
    <row r="12801" spans="1:2">
      <c r="A12801" s="55"/>
      <c r="B12801"/>
    </row>
    <row r="12802" spans="1:2">
      <c r="A12802" s="55"/>
      <c r="B12802"/>
    </row>
    <row r="12803" spans="1:2">
      <c r="A12803" s="55"/>
      <c r="B12803"/>
    </row>
    <row r="12804" spans="1:2">
      <c r="A12804" s="55"/>
      <c r="B12804"/>
    </row>
    <row r="12805" spans="1:2">
      <c r="A12805" s="55"/>
      <c r="B12805"/>
    </row>
    <row r="12806" spans="1:2">
      <c r="A12806" s="55"/>
      <c r="B12806"/>
    </row>
    <row r="12807" spans="1:2">
      <c r="A12807" s="55"/>
      <c r="B12807"/>
    </row>
    <row r="12808" spans="1:2">
      <c r="A12808" s="55"/>
      <c r="B12808"/>
    </row>
    <row r="12809" spans="1:2">
      <c r="A12809" s="55"/>
      <c r="B12809"/>
    </row>
    <row r="12810" spans="1:2">
      <c r="A12810" s="55"/>
      <c r="B12810"/>
    </row>
    <row r="12811" spans="1:2">
      <c r="A12811" s="55"/>
      <c r="B12811"/>
    </row>
    <row r="12812" spans="1:2">
      <c r="A12812" s="55"/>
      <c r="B12812"/>
    </row>
    <row r="12813" spans="1:2">
      <c r="A12813" s="55"/>
      <c r="B12813"/>
    </row>
    <row r="12814" spans="1:2">
      <c r="A12814" s="55"/>
      <c r="B12814"/>
    </row>
    <row r="12815" spans="1:2">
      <c r="A12815" s="55"/>
      <c r="B12815"/>
    </row>
    <row r="12816" spans="1:2">
      <c r="A12816" s="55"/>
      <c r="B12816"/>
    </row>
    <row r="12817" spans="1:2">
      <c r="A12817" s="55"/>
      <c r="B12817"/>
    </row>
    <row r="12818" spans="1:2">
      <c r="A12818" s="55"/>
      <c r="B12818"/>
    </row>
    <row r="12819" spans="1:2">
      <c r="A12819" s="55"/>
      <c r="B12819"/>
    </row>
    <row r="12820" spans="1:2">
      <c r="A12820" s="55"/>
      <c r="B12820"/>
    </row>
    <row r="12821" spans="1:2">
      <c r="A12821" s="55"/>
      <c r="B12821"/>
    </row>
    <row r="12822" spans="1:2">
      <c r="A12822" s="55"/>
      <c r="B12822"/>
    </row>
    <row r="12823" spans="1:2">
      <c r="A12823" s="55"/>
      <c r="B12823"/>
    </row>
    <row r="12824" spans="1:2">
      <c r="A12824" s="55"/>
      <c r="B12824"/>
    </row>
    <row r="12825" spans="1:2">
      <c r="A12825" s="55"/>
      <c r="B12825"/>
    </row>
    <row r="12826" spans="1:2">
      <c r="A12826" s="55"/>
      <c r="B12826"/>
    </row>
    <row r="12827" spans="1:2">
      <c r="A12827" s="55"/>
      <c r="B12827"/>
    </row>
    <row r="12828" spans="1:2">
      <c r="A12828" s="55"/>
      <c r="B12828"/>
    </row>
    <row r="12829" spans="1:2">
      <c r="A12829" s="55"/>
      <c r="B12829"/>
    </row>
    <row r="12830" spans="1:2">
      <c r="A12830" s="55"/>
      <c r="B12830"/>
    </row>
    <row r="12831" spans="1:2">
      <c r="A12831" s="55"/>
      <c r="B12831"/>
    </row>
    <row r="12832" spans="1:2">
      <c r="A12832" s="55"/>
      <c r="B12832"/>
    </row>
    <row r="12833" spans="1:2">
      <c r="A12833" s="55"/>
      <c r="B12833"/>
    </row>
    <row r="12834" spans="1:2">
      <c r="A12834" s="55"/>
      <c r="B12834"/>
    </row>
    <row r="12835" spans="1:2">
      <c r="A12835" s="55"/>
      <c r="B12835"/>
    </row>
    <row r="12836" spans="1:2">
      <c r="A12836" s="55"/>
      <c r="B12836"/>
    </row>
    <row r="12837" spans="1:2">
      <c r="A12837" s="55"/>
      <c r="B12837"/>
    </row>
    <row r="12838" spans="1:2">
      <c r="A12838" s="55"/>
      <c r="B12838"/>
    </row>
    <row r="12839" spans="1:2">
      <c r="A12839" s="55"/>
      <c r="B12839"/>
    </row>
    <row r="12840" spans="1:2">
      <c r="A12840" s="55"/>
      <c r="B12840"/>
    </row>
    <row r="12841" spans="1:2">
      <c r="A12841" s="55"/>
      <c r="B12841"/>
    </row>
    <row r="12842" spans="1:2">
      <c r="A12842" s="55"/>
      <c r="B12842"/>
    </row>
    <row r="12843" spans="1:2">
      <c r="A12843" s="55"/>
      <c r="B12843"/>
    </row>
    <row r="12844" spans="1:2">
      <c r="A12844" s="55"/>
      <c r="B12844"/>
    </row>
    <row r="12845" spans="1:2">
      <c r="A12845" s="55"/>
      <c r="B12845"/>
    </row>
    <row r="12846" spans="1:2">
      <c r="A12846" s="55"/>
      <c r="B12846"/>
    </row>
    <row r="12847" spans="1:2">
      <c r="A12847" s="55"/>
      <c r="B12847"/>
    </row>
    <row r="12848" spans="1:2">
      <c r="A12848" s="55"/>
      <c r="B12848"/>
    </row>
    <row r="12849" spans="1:2">
      <c r="A12849" s="55"/>
      <c r="B12849"/>
    </row>
    <row r="12850" spans="1:2">
      <c r="A12850" s="55"/>
      <c r="B12850"/>
    </row>
    <row r="12851" spans="1:2">
      <c r="A12851" s="55"/>
      <c r="B12851"/>
    </row>
    <row r="12852" spans="1:2">
      <c r="A12852" s="55"/>
      <c r="B12852"/>
    </row>
    <row r="12853" spans="1:2">
      <c r="A12853" s="55"/>
      <c r="B12853"/>
    </row>
    <row r="12854" spans="1:2">
      <c r="A12854" s="55"/>
      <c r="B12854"/>
    </row>
    <row r="12855" spans="1:2">
      <c r="A12855" s="55"/>
      <c r="B12855"/>
    </row>
    <row r="12856" spans="1:2">
      <c r="A12856" s="55"/>
      <c r="B12856"/>
    </row>
    <row r="12857" spans="1:2">
      <c r="A12857" s="55"/>
      <c r="B12857"/>
    </row>
    <row r="12858" spans="1:2">
      <c r="A12858" s="55"/>
      <c r="B12858"/>
    </row>
    <row r="12859" spans="1:2">
      <c r="A12859" s="55"/>
      <c r="B12859"/>
    </row>
    <row r="12860" spans="1:2">
      <c r="A12860" s="55"/>
      <c r="B12860"/>
    </row>
    <row r="12861" spans="1:2">
      <c r="A12861" s="55"/>
      <c r="B12861"/>
    </row>
    <row r="12862" spans="1:2">
      <c r="A12862" s="55"/>
      <c r="B12862"/>
    </row>
    <row r="12863" spans="1:2">
      <c r="A12863" s="55"/>
      <c r="B12863"/>
    </row>
    <row r="12864" spans="1:2">
      <c r="A12864" s="55"/>
      <c r="B12864"/>
    </row>
    <row r="12865" spans="1:2">
      <c r="A12865" s="55"/>
      <c r="B12865"/>
    </row>
    <row r="12866" spans="1:2">
      <c r="A12866" s="55"/>
      <c r="B12866"/>
    </row>
    <row r="12867" spans="1:2">
      <c r="A12867" s="55"/>
      <c r="B12867"/>
    </row>
    <row r="12868" spans="1:2">
      <c r="A12868" s="55"/>
      <c r="B12868"/>
    </row>
    <row r="12869" spans="1:2">
      <c r="A12869" s="55"/>
      <c r="B12869"/>
    </row>
    <row r="12870" spans="1:2">
      <c r="A12870" s="55"/>
      <c r="B12870"/>
    </row>
    <row r="12871" spans="1:2">
      <c r="A12871" s="55"/>
      <c r="B12871"/>
    </row>
    <row r="12872" spans="1:2">
      <c r="A12872" s="55"/>
      <c r="B12872"/>
    </row>
    <row r="12873" spans="1:2">
      <c r="A12873" s="55"/>
      <c r="B12873"/>
    </row>
    <row r="12874" spans="1:2">
      <c r="A12874" s="55"/>
      <c r="B12874"/>
    </row>
    <row r="12875" spans="1:2">
      <c r="A12875" s="55"/>
      <c r="B12875"/>
    </row>
    <row r="12876" spans="1:2">
      <c r="A12876" s="55"/>
      <c r="B12876"/>
    </row>
    <row r="12877" spans="1:2">
      <c r="A12877" s="55"/>
      <c r="B12877"/>
    </row>
    <row r="12878" spans="1:2">
      <c r="A12878" s="55"/>
      <c r="B12878"/>
    </row>
    <row r="12879" spans="1:2">
      <c r="A12879" s="55"/>
      <c r="B12879"/>
    </row>
    <row r="12880" spans="1:2">
      <c r="A12880" s="55"/>
      <c r="B12880"/>
    </row>
    <row r="12881" spans="1:2">
      <c r="A12881" s="55"/>
      <c r="B12881"/>
    </row>
    <row r="12882" spans="1:2">
      <c r="A12882" s="55"/>
      <c r="B12882"/>
    </row>
    <row r="12883" spans="1:2">
      <c r="A12883" s="55"/>
      <c r="B12883"/>
    </row>
    <row r="12884" spans="1:2">
      <c r="A12884" s="55"/>
      <c r="B12884"/>
    </row>
    <row r="12885" spans="1:2">
      <c r="A12885" s="55"/>
      <c r="B12885"/>
    </row>
    <row r="12886" spans="1:2">
      <c r="A12886" s="55"/>
      <c r="B12886"/>
    </row>
    <row r="12887" spans="1:2">
      <c r="A12887" s="55"/>
      <c r="B12887"/>
    </row>
    <row r="12888" spans="1:2">
      <c r="A12888" s="55"/>
      <c r="B12888"/>
    </row>
    <row r="12889" spans="1:2">
      <c r="A12889" s="55"/>
      <c r="B12889"/>
    </row>
    <row r="12890" spans="1:2">
      <c r="A12890" s="55"/>
      <c r="B12890"/>
    </row>
    <row r="12891" spans="1:2">
      <c r="A12891" s="55"/>
      <c r="B12891"/>
    </row>
    <row r="12892" spans="1:2">
      <c r="A12892" s="55"/>
      <c r="B12892"/>
    </row>
    <row r="12893" spans="1:2">
      <c r="A12893" s="55"/>
      <c r="B12893"/>
    </row>
    <row r="12894" spans="1:2">
      <c r="A12894" s="55"/>
      <c r="B12894"/>
    </row>
    <row r="12895" spans="1:2">
      <c r="A12895" s="55"/>
      <c r="B12895"/>
    </row>
    <row r="12896" spans="1:2">
      <c r="A12896" s="55"/>
      <c r="B12896"/>
    </row>
    <row r="12897" spans="1:2">
      <c r="A12897" s="55"/>
      <c r="B12897"/>
    </row>
    <row r="12898" spans="1:2">
      <c r="A12898" s="55"/>
      <c r="B12898"/>
    </row>
    <row r="12899" spans="1:2">
      <c r="A12899" s="55"/>
      <c r="B12899"/>
    </row>
    <row r="12900" spans="1:2">
      <c r="A12900" s="55"/>
      <c r="B12900"/>
    </row>
    <row r="12901" spans="1:2">
      <c r="A12901" s="55"/>
      <c r="B12901"/>
    </row>
    <row r="12902" spans="1:2">
      <c r="A12902" s="55"/>
      <c r="B12902"/>
    </row>
    <row r="12903" spans="1:2">
      <c r="A12903" s="55"/>
      <c r="B12903"/>
    </row>
    <row r="12904" spans="1:2">
      <c r="A12904" s="55"/>
      <c r="B12904"/>
    </row>
    <row r="12905" spans="1:2">
      <c r="A12905" s="55"/>
      <c r="B12905"/>
    </row>
    <row r="12906" spans="1:2">
      <c r="A12906" s="55"/>
      <c r="B12906"/>
    </row>
    <row r="12907" spans="1:2">
      <c r="A12907" s="55"/>
      <c r="B12907"/>
    </row>
    <row r="12908" spans="1:2">
      <c r="A12908" s="55"/>
      <c r="B12908"/>
    </row>
    <row r="12909" spans="1:2">
      <c r="A12909" s="55"/>
      <c r="B12909"/>
    </row>
    <row r="12910" spans="1:2">
      <c r="A12910" s="55"/>
      <c r="B12910"/>
    </row>
    <row r="12911" spans="1:2">
      <c r="A12911" s="55"/>
      <c r="B12911"/>
    </row>
    <row r="12912" spans="1:2">
      <c r="A12912" s="55"/>
      <c r="B12912"/>
    </row>
    <row r="12913" spans="1:2">
      <c r="A12913" s="55"/>
      <c r="B12913"/>
    </row>
    <row r="12914" spans="1:2">
      <c r="A12914" s="55"/>
      <c r="B12914"/>
    </row>
    <row r="12915" spans="1:2">
      <c r="A12915" s="55"/>
      <c r="B12915"/>
    </row>
    <row r="12916" spans="1:2">
      <c r="A12916" s="55"/>
      <c r="B12916"/>
    </row>
    <row r="12917" spans="1:2">
      <c r="A12917" s="55"/>
      <c r="B12917"/>
    </row>
    <row r="12918" spans="1:2">
      <c r="A12918" s="55"/>
      <c r="B12918"/>
    </row>
    <row r="12919" spans="1:2">
      <c r="A12919" s="55"/>
      <c r="B12919"/>
    </row>
    <row r="12920" spans="1:2">
      <c r="A12920" s="55"/>
      <c r="B12920"/>
    </row>
    <row r="12921" spans="1:2">
      <c r="A12921" s="55"/>
      <c r="B12921"/>
    </row>
    <row r="12922" spans="1:2">
      <c r="A12922" s="55"/>
      <c r="B12922"/>
    </row>
    <row r="12923" spans="1:2">
      <c r="A12923" s="55"/>
      <c r="B12923"/>
    </row>
    <row r="12924" spans="1:2">
      <c r="A12924" s="55"/>
      <c r="B12924"/>
    </row>
    <row r="12925" spans="1:2">
      <c r="A12925" s="55"/>
      <c r="B12925"/>
    </row>
    <row r="12926" spans="1:2">
      <c r="A12926" s="55"/>
      <c r="B12926"/>
    </row>
    <row r="12927" spans="1:2">
      <c r="A12927" s="55"/>
      <c r="B12927"/>
    </row>
    <row r="12928" spans="1:2">
      <c r="A12928" s="55"/>
      <c r="B12928"/>
    </row>
    <row r="12929" spans="1:2">
      <c r="A12929" s="55"/>
      <c r="B12929"/>
    </row>
    <row r="12930" spans="1:2">
      <c r="A12930" s="55"/>
      <c r="B12930"/>
    </row>
    <row r="12931" spans="1:2">
      <c r="A12931" s="55"/>
      <c r="B12931"/>
    </row>
    <row r="12932" spans="1:2">
      <c r="A12932" s="55"/>
      <c r="B12932"/>
    </row>
    <row r="12933" spans="1:2">
      <c r="A12933" s="55"/>
      <c r="B12933"/>
    </row>
    <row r="12934" spans="1:2">
      <c r="A12934" s="55"/>
      <c r="B12934"/>
    </row>
    <row r="12935" spans="1:2">
      <c r="A12935" s="55"/>
      <c r="B12935"/>
    </row>
    <row r="12936" spans="1:2">
      <c r="A12936" s="55"/>
      <c r="B12936"/>
    </row>
    <row r="12937" spans="1:2">
      <c r="A12937" s="55"/>
      <c r="B12937"/>
    </row>
    <row r="12938" spans="1:2">
      <c r="A12938" s="55"/>
      <c r="B12938"/>
    </row>
    <row r="12939" spans="1:2">
      <c r="A12939" s="55"/>
      <c r="B12939"/>
    </row>
    <row r="12940" spans="1:2">
      <c r="A12940" s="55"/>
      <c r="B12940"/>
    </row>
    <row r="12941" spans="1:2">
      <c r="A12941" s="55"/>
      <c r="B12941"/>
    </row>
    <row r="12942" spans="1:2">
      <c r="A12942" s="55"/>
      <c r="B12942"/>
    </row>
    <row r="12943" spans="1:2">
      <c r="A12943" s="55"/>
      <c r="B12943"/>
    </row>
    <row r="12944" spans="1:2">
      <c r="A12944" s="55"/>
      <c r="B12944"/>
    </row>
    <row r="12945" spans="1:2">
      <c r="A12945" s="55"/>
      <c r="B12945"/>
    </row>
    <row r="12946" spans="1:2">
      <c r="A12946" s="55"/>
      <c r="B12946"/>
    </row>
    <row r="12947" spans="1:2">
      <c r="A12947" s="55"/>
      <c r="B12947"/>
    </row>
    <row r="12948" spans="1:2">
      <c r="A12948" s="55"/>
      <c r="B12948"/>
    </row>
    <row r="12949" spans="1:2">
      <c r="A12949" s="55"/>
      <c r="B12949"/>
    </row>
    <row r="12950" spans="1:2">
      <c r="A12950" s="55"/>
      <c r="B12950"/>
    </row>
    <row r="12951" spans="1:2">
      <c r="A12951" s="55"/>
      <c r="B12951"/>
    </row>
    <row r="12952" spans="1:2">
      <c r="A12952" s="55"/>
      <c r="B12952"/>
    </row>
    <row r="12953" spans="1:2">
      <c r="A12953" s="55"/>
      <c r="B12953"/>
    </row>
    <row r="12954" spans="1:2">
      <c r="A12954" s="55"/>
      <c r="B12954"/>
    </row>
    <row r="12955" spans="1:2">
      <c r="A12955" s="55"/>
      <c r="B12955"/>
    </row>
    <row r="12956" spans="1:2">
      <c r="A12956" s="55"/>
      <c r="B12956"/>
    </row>
    <row r="12957" spans="1:2">
      <c r="A12957" s="55"/>
      <c r="B12957"/>
    </row>
    <row r="12958" spans="1:2">
      <c r="A12958" s="55"/>
      <c r="B12958"/>
    </row>
    <row r="12959" spans="1:2">
      <c r="A12959" s="55"/>
      <c r="B12959"/>
    </row>
    <row r="12960" spans="1:2">
      <c r="A12960" s="55"/>
      <c r="B12960"/>
    </row>
    <row r="12961" spans="1:2">
      <c r="A12961" s="55"/>
      <c r="B12961"/>
    </row>
    <row r="12962" spans="1:2">
      <c r="A12962" s="55"/>
      <c r="B12962"/>
    </row>
    <row r="12963" spans="1:2">
      <c r="A12963" s="55"/>
      <c r="B12963"/>
    </row>
    <row r="12964" spans="1:2">
      <c r="A12964" s="55"/>
      <c r="B12964"/>
    </row>
    <row r="12965" spans="1:2">
      <c r="A12965" s="55"/>
      <c r="B12965"/>
    </row>
    <row r="12966" spans="1:2">
      <c r="A12966" s="55"/>
      <c r="B12966"/>
    </row>
    <row r="12967" spans="1:2">
      <c r="A12967" s="55"/>
      <c r="B12967"/>
    </row>
    <row r="12968" spans="1:2">
      <c r="A12968" s="55"/>
      <c r="B12968"/>
    </row>
    <row r="12969" spans="1:2">
      <c r="A12969" s="55"/>
      <c r="B12969"/>
    </row>
    <row r="12970" spans="1:2">
      <c r="A12970" s="55"/>
      <c r="B12970"/>
    </row>
    <row r="12971" spans="1:2">
      <c r="A12971" s="55"/>
      <c r="B12971"/>
    </row>
    <row r="12972" spans="1:2">
      <c r="A12972" s="55"/>
      <c r="B12972"/>
    </row>
    <row r="12973" spans="1:2">
      <c r="A12973" s="55"/>
      <c r="B12973"/>
    </row>
    <row r="12974" spans="1:2">
      <c r="A12974" s="55"/>
      <c r="B12974"/>
    </row>
    <row r="12975" spans="1:2">
      <c r="A12975" s="55"/>
      <c r="B12975"/>
    </row>
    <row r="12976" spans="1:2">
      <c r="A12976" s="55"/>
      <c r="B12976"/>
    </row>
    <row r="12977" spans="1:2">
      <c r="A12977" s="55"/>
      <c r="B12977"/>
    </row>
    <row r="12978" spans="1:2">
      <c r="A12978" s="55"/>
      <c r="B12978"/>
    </row>
    <row r="12979" spans="1:2">
      <c r="A12979" s="55"/>
      <c r="B12979"/>
    </row>
    <row r="12980" spans="1:2">
      <c r="A12980" s="55"/>
      <c r="B12980"/>
    </row>
    <row r="12981" spans="1:2">
      <c r="A12981" s="55"/>
      <c r="B12981"/>
    </row>
    <row r="12982" spans="1:2">
      <c r="A12982" s="55"/>
      <c r="B12982"/>
    </row>
    <row r="12983" spans="1:2">
      <c r="A12983" s="55"/>
      <c r="B12983"/>
    </row>
    <row r="12984" spans="1:2">
      <c r="A12984" s="55"/>
      <c r="B12984"/>
    </row>
    <row r="12985" spans="1:2">
      <c r="A12985" s="55"/>
      <c r="B12985"/>
    </row>
    <row r="12986" spans="1:2">
      <c r="A12986" s="55"/>
      <c r="B12986"/>
    </row>
    <row r="12987" spans="1:2">
      <c r="A12987" s="55"/>
      <c r="B12987"/>
    </row>
    <row r="12988" spans="1:2">
      <c r="A12988" s="55"/>
      <c r="B12988"/>
    </row>
    <row r="12989" spans="1:2">
      <c r="A12989" s="55"/>
      <c r="B12989"/>
    </row>
    <row r="12990" spans="1:2">
      <c r="A12990" s="55"/>
      <c r="B12990"/>
    </row>
    <row r="12991" spans="1:2">
      <c r="A12991" s="55"/>
      <c r="B12991"/>
    </row>
    <row r="12992" spans="1:2">
      <c r="A12992" s="55"/>
      <c r="B12992"/>
    </row>
    <row r="12993" spans="1:2">
      <c r="A12993" s="55"/>
      <c r="B12993"/>
    </row>
    <row r="12994" spans="1:2">
      <c r="A12994" s="55"/>
      <c r="B12994"/>
    </row>
    <row r="12995" spans="1:2">
      <c r="A12995" s="55"/>
      <c r="B12995"/>
    </row>
    <row r="12996" spans="1:2">
      <c r="A12996" s="55"/>
      <c r="B12996"/>
    </row>
    <row r="12997" spans="1:2">
      <c r="A12997" s="55"/>
      <c r="B12997"/>
    </row>
    <row r="12998" spans="1:2">
      <c r="A12998" s="55"/>
      <c r="B12998"/>
    </row>
    <row r="12999" spans="1:2">
      <c r="A12999" s="55"/>
      <c r="B12999"/>
    </row>
    <row r="13000" spans="1:2">
      <c r="A13000" s="55"/>
      <c r="B13000"/>
    </row>
    <row r="13001" spans="1:2">
      <c r="A13001" s="55"/>
      <c r="B13001"/>
    </row>
    <row r="13002" spans="1:2">
      <c r="A13002" s="55"/>
      <c r="B13002"/>
    </row>
    <row r="13003" spans="1:2">
      <c r="A13003" s="55"/>
      <c r="B13003"/>
    </row>
    <row r="13004" spans="1:2">
      <c r="A13004" s="55"/>
      <c r="B13004"/>
    </row>
    <row r="13005" spans="1:2">
      <c r="A13005" s="55"/>
      <c r="B13005"/>
    </row>
    <row r="13006" spans="1:2">
      <c r="A13006" s="55"/>
      <c r="B13006"/>
    </row>
    <row r="13007" spans="1:2">
      <c r="A13007" s="55"/>
      <c r="B13007"/>
    </row>
    <row r="13008" spans="1:2">
      <c r="A13008" s="55"/>
      <c r="B13008"/>
    </row>
    <row r="13009" spans="1:2">
      <c r="A13009" s="55"/>
      <c r="B13009"/>
    </row>
    <row r="13010" spans="1:2">
      <c r="A13010" s="55"/>
      <c r="B13010"/>
    </row>
    <row r="13011" spans="1:2">
      <c r="A13011" s="55"/>
      <c r="B13011"/>
    </row>
    <row r="13012" spans="1:2">
      <c r="A13012" s="55"/>
      <c r="B13012"/>
    </row>
    <row r="13013" spans="1:2">
      <c r="A13013" s="55"/>
      <c r="B13013"/>
    </row>
    <row r="13014" spans="1:2">
      <c r="A13014" s="55"/>
      <c r="B13014"/>
    </row>
    <row r="13015" spans="1:2">
      <c r="A13015" s="55"/>
      <c r="B13015"/>
    </row>
    <row r="13016" spans="1:2">
      <c r="A13016" s="55"/>
      <c r="B13016"/>
    </row>
    <row r="13017" spans="1:2">
      <c r="A13017" s="55"/>
      <c r="B13017"/>
    </row>
    <row r="13018" spans="1:2">
      <c r="A13018" s="55"/>
      <c r="B13018"/>
    </row>
    <row r="13019" spans="1:2">
      <c r="A13019" s="55"/>
      <c r="B13019"/>
    </row>
    <row r="13020" spans="1:2">
      <c r="A13020" s="55"/>
      <c r="B13020"/>
    </row>
    <row r="13021" spans="1:2">
      <c r="A13021" s="55"/>
      <c r="B13021"/>
    </row>
    <row r="13022" spans="1:2">
      <c r="A13022" s="55"/>
      <c r="B13022"/>
    </row>
    <row r="13023" spans="1:2">
      <c r="A13023" s="55"/>
      <c r="B13023"/>
    </row>
    <row r="13024" spans="1:2">
      <c r="A13024" s="55"/>
      <c r="B13024"/>
    </row>
    <row r="13025" spans="1:2">
      <c r="A13025" s="55"/>
      <c r="B13025"/>
    </row>
    <row r="13026" spans="1:2">
      <c r="A13026" s="55"/>
      <c r="B13026"/>
    </row>
    <row r="13027" spans="1:2">
      <c r="A13027" s="55"/>
      <c r="B13027"/>
    </row>
    <row r="13028" spans="1:2">
      <c r="A13028" s="55"/>
      <c r="B13028"/>
    </row>
    <row r="13029" spans="1:2">
      <c r="A13029" s="55"/>
      <c r="B13029"/>
    </row>
    <row r="13030" spans="1:2">
      <c r="A13030" s="55"/>
      <c r="B13030"/>
    </row>
    <row r="13031" spans="1:2">
      <c r="A13031" s="55"/>
      <c r="B13031"/>
    </row>
    <row r="13032" spans="1:2">
      <c r="A13032" s="55"/>
      <c r="B13032"/>
    </row>
    <row r="13033" spans="1:2">
      <c r="A13033" s="55"/>
      <c r="B13033"/>
    </row>
    <row r="13034" spans="1:2">
      <c r="A13034" s="55"/>
      <c r="B13034"/>
    </row>
    <row r="13035" spans="1:2">
      <c r="A13035" s="55"/>
      <c r="B13035"/>
    </row>
    <row r="13036" spans="1:2">
      <c r="A13036" s="55"/>
      <c r="B13036"/>
    </row>
    <row r="13037" spans="1:2">
      <c r="A13037" s="55"/>
      <c r="B13037"/>
    </row>
    <row r="13038" spans="1:2">
      <c r="A13038" s="55"/>
      <c r="B13038"/>
    </row>
    <row r="13039" spans="1:2">
      <c r="A13039" s="55"/>
      <c r="B13039"/>
    </row>
    <row r="13040" spans="1:2">
      <c r="A13040" s="55"/>
      <c r="B13040"/>
    </row>
    <row r="13041" spans="1:2">
      <c r="A13041" s="55"/>
      <c r="B13041"/>
    </row>
    <row r="13042" spans="1:2">
      <c r="A13042" s="55"/>
      <c r="B13042"/>
    </row>
    <row r="13043" spans="1:2">
      <c r="A13043" s="55"/>
      <c r="B13043"/>
    </row>
    <row r="13044" spans="1:2">
      <c r="A13044" s="55"/>
      <c r="B13044"/>
    </row>
    <row r="13045" spans="1:2">
      <c r="A13045" s="55"/>
      <c r="B13045"/>
    </row>
    <row r="13046" spans="1:2">
      <c r="A13046" s="55"/>
      <c r="B13046"/>
    </row>
    <row r="13047" spans="1:2">
      <c r="A13047" s="55"/>
      <c r="B13047"/>
    </row>
    <row r="13048" spans="1:2">
      <c r="A13048" s="55"/>
      <c r="B13048"/>
    </row>
    <row r="13049" spans="1:2">
      <c r="A13049" s="55"/>
      <c r="B13049"/>
    </row>
    <row r="13050" spans="1:2">
      <c r="A13050" s="55"/>
      <c r="B13050"/>
    </row>
    <row r="13051" spans="1:2">
      <c r="A13051" s="55"/>
      <c r="B13051"/>
    </row>
    <row r="13052" spans="1:2">
      <c r="A13052" s="55"/>
      <c r="B13052"/>
    </row>
    <row r="13053" spans="1:2">
      <c r="A13053" s="55"/>
      <c r="B13053"/>
    </row>
    <row r="13054" spans="1:2">
      <c r="A13054" s="55"/>
      <c r="B13054"/>
    </row>
    <row r="13055" spans="1:2">
      <c r="A13055" s="55"/>
      <c r="B13055"/>
    </row>
    <row r="13056" spans="1:2">
      <c r="A13056" s="55"/>
      <c r="B13056"/>
    </row>
    <row r="13057" spans="1:2">
      <c r="A13057" s="55"/>
      <c r="B13057"/>
    </row>
    <row r="13058" spans="1:2">
      <c r="A13058" s="55"/>
      <c r="B13058"/>
    </row>
    <row r="13059" spans="1:2">
      <c r="A13059" s="55"/>
      <c r="B13059"/>
    </row>
    <row r="13060" spans="1:2">
      <c r="A13060" s="55"/>
      <c r="B13060"/>
    </row>
    <row r="13061" spans="1:2">
      <c r="A13061" s="55"/>
      <c r="B13061"/>
    </row>
    <row r="13062" spans="1:2">
      <c r="A13062" s="55"/>
      <c r="B13062"/>
    </row>
    <row r="13063" spans="1:2">
      <c r="A13063" s="55"/>
      <c r="B13063"/>
    </row>
    <row r="13064" spans="1:2">
      <c r="A13064" s="55"/>
      <c r="B13064"/>
    </row>
    <row r="13065" spans="1:2">
      <c r="A13065" s="55"/>
      <c r="B13065"/>
    </row>
    <row r="13066" spans="1:2">
      <c r="A13066" s="55"/>
      <c r="B13066"/>
    </row>
    <row r="13067" spans="1:2">
      <c r="A13067" s="55"/>
      <c r="B13067"/>
    </row>
    <row r="13068" spans="1:2">
      <c r="A13068" s="55"/>
      <c r="B13068"/>
    </row>
    <row r="13069" spans="1:2">
      <c r="A13069" s="55"/>
      <c r="B13069"/>
    </row>
    <row r="13070" spans="1:2">
      <c r="A13070" s="55"/>
      <c r="B13070"/>
    </row>
    <row r="13071" spans="1:2">
      <c r="A13071" s="55"/>
      <c r="B13071"/>
    </row>
    <row r="13072" spans="1:2">
      <c r="A13072" s="55"/>
      <c r="B13072"/>
    </row>
    <row r="13073" spans="1:2">
      <c r="A13073" s="55"/>
      <c r="B13073"/>
    </row>
    <row r="13074" spans="1:2">
      <c r="A13074" s="55"/>
      <c r="B13074"/>
    </row>
    <row r="13075" spans="1:2">
      <c r="A13075" s="55"/>
      <c r="B13075"/>
    </row>
    <row r="13076" spans="1:2">
      <c r="A13076" s="55"/>
      <c r="B13076"/>
    </row>
    <row r="13077" spans="1:2">
      <c r="A13077" s="55"/>
      <c r="B13077"/>
    </row>
    <row r="13078" spans="1:2">
      <c r="A13078" s="55"/>
      <c r="B13078"/>
    </row>
    <row r="13079" spans="1:2">
      <c r="A13079" s="55"/>
      <c r="B13079"/>
    </row>
    <row r="13080" spans="1:2">
      <c r="A13080" s="55"/>
      <c r="B13080"/>
    </row>
    <row r="13081" spans="1:2">
      <c r="A13081" s="55"/>
      <c r="B13081"/>
    </row>
    <row r="13082" spans="1:2">
      <c r="A13082" s="55"/>
      <c r="B13082"/>
    </row>
    <row r="13083" spans="1:2">
      <c r="A13083" s="55"/>
      <c r="B13083"/>
    </row>
    <row r="13084" spans="1:2">
      <c r="A13084" s="55"/>
      <c r="B13084"/>
    </row>
    <row r="13085" spans="1:2">
      <c r="A13085" s="55"/>
      <c r="B13085"/>
    </row>
    <row r="13086" spans="1:2">
      <c r="A13086" s="55"/>
      <c r="B13086"/>
    </row>
    <row r="13087" spans="1:2">
      <c r="A13087" s="55"/>
      <c r="B13087"/>
    </row>
    <row r="13088" spans="1:2">
      <c r="A13088" s="55"/>
      <c r="B13088"/>
    </row>
    <row r="13089" spans="1:2">
      <c r="A13089" s="55"/>
      <c r="B13089"/>
    </row>
    <row r="13090" spans="1:2">
      <c r="A13090" s="55"/>
      <c r="B13090"/>
    </row>
    <row r="13091" spans="1:2">
      <c r="A13091" s="55"/>
      <c r="B13091"/>
    </row>
    <row r="13092" spans="1:2">
      <c r="A13092" s="55"/>
      <c r="B13092"/>
    </row>
    <row r="13093" spans="1:2">
      <c r="A13093" s="55"/>
      <c r="B13093"/>
    </row>
    <row r="13094" spans="1:2">
      <c r="A13094" s="55"/>
      <c r="B13094"/>
    </row>
    <row r="13095" spans="1:2">
      <c r="A13095" s="55"/>
      <c r="B13095"/>
    </row>
    <row r="13096" spans="1:2">
      <c r="A13096" s="55"/>
      <c r="B13096"/>
    </row>
    <row r="13097" spans="1:2">
      <c r="A13097" s="55"/>
      <c r="B13097"/>
    </row>
    <row r="13098" spans="1:2">
      <c r="A13098" s="55"/>
      <c r="B13098"/>
    </row>
    <row r="13099" spans="1:2">
      <c r="A13099" s="55"/>
      <c r="B13099"/>
    </row>
    <row r="13100" spans="1:2">
      <c r="A13100" s="55"/>
      <c r="B13100"/>
    </row>
    <row r="13101" spans="1:2">
      <c r="A13101" s="55"/>
      <c r="B13101"/>
    </row>
    <row r="13102" spans="1:2">
      <c r="A13102" s="55"/>
      <c r="B13102"/>
    </row>
    <row r="13103" spans="1:2">
      <c r="A13103" s="55"/>
      <c r="B13103"/>
    </row>
    <row r="13104" spans="1:2">
      <c r="A13104" s="55"/>
      <c r="B13104"/>
    </row>
    <row r="13105" spans="1:2">
      <c r="A13105" s="55"/>
      <c r="B13105"/>
    </row>
    <row r="13106" spans="1:2">
      <c r="A13106" s="55"/>
      <c r="B13106"/>
    </row>
    <row r="13107" spans="1:2">
      <c r="A13107" s="55"/>
      <c r="B13107"/>
    </row>
    <row r="13108" spans="1:2">
      <c r="A13108" s="55"/>
      <c r="B13108"/>
    </row>
    <row r="13109" spans="1:2">
      <c r="A13109" s="55"/>
      <c r="B13109"/>
    </row>
    <row r="13110" spans="1:2">
      <c r="A13110" s="55"/>
      <c r="B13110"/>
    </row>
    <row r="13111" spans="1:2">
      <c r="A13111" s="55"/>
      <c r="B13111"/>
    </row>
    <row r="13112" spans="1:2">
      <c r="A13112" s="55"/>
      <c r="B13112"/>
    </row>
    <row r="13113" spans="1:2">
      <c r="A13113" s="55"/>
      <c r="B13113"/>
    </row>
    <row r="13114" spans="1:2">
      <c r="A13114" s="55"/>
      <c r="B13114"/>
    </row>
    <row r="13115" spans="1:2">
      <c r="A13115" s="55"/>
      <c r="B13115"/>
    </row>
    <row r="13116" spans="1:2">
      <c r="A13116" s="55"/>
      <c r="B13116"/>
    </row>
    <row r="13117" spans="1:2">
      <c r="A13117" s="55"/>
      <c r="B13117"/>
    </row>
    <row r="13118" spans="1:2">
      <c r="A13118" s="55"/>
      <c r="B13118"/>
    </row>
    <row r="13119" spans="1:2">
      <c r="A13119" s="55"/>
      <c r="B13119"/>
    </row>
    <row r="13120" spans="1:2">
      <c r="A13120" s="55"/>
      <c r="B13120"/>
    </row>
    <row r="13121" spans="1:2">
      <c r="A13121" s="55"/>
      <c r="B13121"/>
    </row>
    <row r="13122" spans="1:2">
      <c r="A13122" s="55"/>
      <c r="B13122"/>
    </row>
    <row r="13123" spans="1:2">
      <c r="A13123" s="55"/>
      <c r="B13123"/>
    </row>
    <row r="13124" spans="1:2">
      <c r="A13124" s="55"/>
      <c r="B13124"/>
    </row>
    <row r="13125" spans="1:2">
      <c r="A13125" s="55"/>
      <c r="B13125"/>
    </row>
    <row r="13126" spans="1:2">
      <c r="A13126" s="55"/>
      <c r="B13126"/>
    </row>
    <row r="13127" spans="1:2">
      <c r="A13127" s="55"/>
      <c r="B13127"/>
    </row>
    <row r="13128" spans="1:2">
      <c r="A13128" s="55"/>
      <c r="B13128"/>
    </row>
    <row r="13129" spans="1:2">
      <c r="A13129" s="55"/>
      <c r="B13129"/>
    </row>
    <row r="13130" spans="1:2">
      <c r="A13130" s="55"/>
      <c r="B13130"/>
    </row>
    <row r="13131" spans="1:2">
      <c r="A13131" s="55"/>
      <c r="B13131"/>
    </row>
    <row r="13132" spans="1:2">
      <c r="A13132" s="55"/>
      <c r="B13132"/>
    </row>
    <row r="13133" spans="1:2">
      <c r="A13133" s="55"/>
      <c r="B13133"/>
    </row>
    <row r="13134" spans="1:2">
      <c r="A13134" s="55"/>
      <c r="B13134"/>
    </row>
    <row r="13135" spans="1:2">
      <c r="A13135" s="55"/>
      <c r="B13135"/>
    </row>
    <row r="13136" spans="1:2">
      <c r="A13136" s="55"/>
      <c r="B13136"/>
    </row>
    <row r="13137" spans="1:2">
      <c r="A13137" s="55"/>
      <c r="B13137"/>
    </row>
    <row r="13138" spans="1:2">
      <c r="A13138" s="55"/>
      <c r="B13138"/>
    </row>
    <row r="13139" spans="1:2">
      <c r="A13139" s="55"/>
      <c r="B13139"/>
    </row>
    <row r="13140" spans="1:2">
      <c r="A13140" s="55"/>
      <c r="B13140"/>
    </row>
    <row r="13141" spans="1:2">
      <c r="A13141" s="55"/>
      <c r="B13141"/>
    </row>
    <row r="13142" spans="1:2">
      <c r="A13142" s="55"/>
      <c r="B13142"/>
    </row>
    <row r="13143" spans="1:2">
      <c r="A13143" s="55"/>
      <c r="B13143"/>
    </row>
    <row r="13144" spans="1:2">
      <c r="A13144" s="55"/>
      <c r="B13144"/>
    </row>
    <row r="13145" spans="1:2">
      <c r="A13145" s="55"/>
      <c r="B13145"/>
    </row>
    <row r="13146" spans="1:2">
      <c r="A13146" s="55"/>
      <c r="B13146"/>
    </row>
    <row r="13147" spans="1:2">
      <c r="A13147" s="55"/>
      <c r="B13147"/>
    </row>
    <row r="13148" spans="1:2">
      <c r="A13148" s="55"/>
      <c r="B13148"/>
    </row>
    <row r="13149" spans="1:2">
      <c r="A13149" s="55"/>
      <c r="B13149"/>
    </row>
    <row r="13150" spans="1:2">
      <c r="A13150" s="55"/>
      <c r="B13150"/>
    </row>
    <row r="13151" spans="1:2">
      <c r="A13151" s="55"/>
      <c r="B13151"/>
    </row>
    <row r="13152" spans="1:2">
      <c r="A13152" s="55"/>
      <c r="B13152"/>
    </row>
    <row r="13153" spans="1:2">
      <c r="A13153" s="55"/>
      <c r="B13153"/>
    </row>
    <row r="13154" spans="1:2">
      <c r="A13154" s="55"/>
      <c r="B13154"/>
    </row>
    <row r="13155" spans="1:2">
      <c r="A13155" s="55"/>
      <c r="B13155"/>
    </row>
    <row r="13156" spans="1:2">
      <c r="A13156" s="55"/>
      <c r="B13156"/>
    </row>
    <row r="13157" spans="1:2">
      <c r="A13157" s="55"/>
      <c r="B13157"/>
    </row>
    <row r="13158" spans="1:2">
      <c r="A13158" s="55"/>
      <c r="B13158"/>
    </row>
    <row r="13159" spans="1:2">
      <c r="A13159" s="55"/>
      <c r="B13159"/>
    </row>
    <row r="13160" spans="1:2">
      <c r="A13160" s="55"/>
      <c r="B13160"/>
    </row>
    <row r="13161" spans="1:2">
      <c r="A13161" s="55"/>
      <c r="B13161"/>
    </row>
    <row r="13162" spans="1:2">
      <c r="A13162" s="55"/>
      <c r="B13162"/>
    </row>
    <row r="13163" spans="1:2">
      <c r="A13163" s="55"/>
      <c r="B13163"/>
    </row>
    <row r="13164" spans="1:2">
      <c r="A13164" s="55"/>
      <c r="B13164"/>
    </row>
    <row r="13165" spans="1:2">
      <c r="A13165" s="55"/>
      <c r="B13165"/>
    </row>
    <row r="13166" spans="1:2">
      <c r="A13166" s="55"/>
      <c r="B13166"/>
    </row>
    <row r="13167" spans="1:2">
      <c r="A13167" s="55"/>
      <c r="B13167"/>
    </row>
    <row r="13168" spans="1:2">
      <c r="A13168" s="55"/>
      <c r="B13168"/>
    </row>
    <row r="13169" spans="1:2">
      <c r="A13169" s="55"/>
      <c r="B13169"/>
    </row>
    <row r="13170" spans="1:2">
      <c r="A13170" s="55"/>
      <c r="B13170"/>
    </row>
    <row r="13171" spans="1:2">
      <c r="A13171" s="55"/>
      <c r="B13171"/>
    </row>
    <row r="13172" spans="1:2">
      <c r="A13172" s="55"/>
      <c r="B13172"/>
    </row>
    <row r="13173" spans="1:2">
      <c r="A13173" s="55"/>
      <c r="B13173"/>
    </row>
    <row r="13174" spans="1:2">
      <c r="A13174" s="55"/>
      <c r="B13174"/>
    </row>
    <row r="13175" spans="1:2">
      <c r="A13175" s="55"/>
      <c r="B13175"/>
    </row>
    <row r="13176" spans="1:2">
      <c r="A13176" s="55"/>
      <c r="B13176"/>
    </row>
    <row r="13177" spans="1:2">
      <c r="A13177" s="55"/>
      <c r="B13177"/>
    </row>
    <row r="13178" spans="1:2">
      <c r="A13178" s="55"/>
      <c r="B13178"/>
    </row>
    <row r="13179" spans="1:2">
      <c r="A13179" s="55"/>
      <c r="B13179"/>
    </row>
    <row r="13180" spans="1:2">
      <c r="A13180" s="55"/>
      <c r="B13180"/>
    </row>
    <row r="13181" spans="1:2">
      <c r="A13181" s="55"/>
      <c r="B13181"/>
    </row>
    <row r="13182" spans="1:2">
      <c r="A13182" s="55"/>
      <c r="B13182"/>
    </row>
    <row r="13183" spans="1:2">
      <c r="A13183" s="55"/>
      <c r="B13183"/>
    </row>
    <row r="13184" spans="1:2">
      <c r="A13184" s="55"/>
      <c r="B13184"/>
    </row>
    <row r="13185" spans="1:2">
      <c r="A13185" s="55"/>
      <c r="B13185"/>
    </row>
    <row r="13186" spans="1:2">
      <c r="A13186" s="55"/>
      <c r="B13186"/>
    </row>
    <row r="13187" spans="1:2">
      <c r="A13187" s="55"/>
      <c r="B13187"/>
    </row>
    <row r="13188" spans="1:2">
      <c r="A13188" s="55"/>
      <c r="B13188"/>
    </row>
    <row r="13189" spans="1:2">
      <c r="A13189" s="55"/>
      <c r="B13189"/>
    </row>
    <row r="13190" spans="1:2">
      <c r="A13190" s="55"/>
      <c r="B13190"/>
    </row>
    <row r="13191" spans="1:2">
      <c r="A13191" s="55"/>
      <c r="B13191"/>
    </row>
    <row r="13192" spans="1:2">
      <c r="A13192" s="55"/>
      <c r="B13192"/>
    </row>
    <row r="13193" spans="1:2">
      <c r="A13193" s="55"/>
      <c r="B13193"/>
    </row>
    <row r="13194" spans="1:2">
      <c r="A13194" s="55"/>
      <c r="B13194"/>
    </row>
    <row r="13195" spans="1:2">
      <c r="A13195" s="55"/>
      <c r="B13195"/>
    </row>
    <row r="13196" spans="1:2">
      <c r="A13196" s="55"/>
      <c r="B13196"/>
    </row>
    <row r="13197" spans="1:2">
      <c r="A13197" s="55"/>
      <c r="B13197"/>
    </row>
    <row r="13198" spans="1:2">
      <c r="A13198" s="55"/>
      <c r="B13198"/>
    </row>
    <row r="13199" spans="1:2">
      <c r="A13199" s="55"/>
      <c r="B13199"/>
    </row>
    <row r="13200" spans="1:2">
      <c r="A13200" s="55"/>
      <c r="B13200"/>
    </row>
    <row r="13201" spans="1:2">
      <c r="A13201" s="55"/>
      <c r="B13201"/>
    </row>
    <row r="13202" spans="1:2">
      <c r="A13202" s="55"/>
      <c r="B13202"/>
    </row>
    <row r="13203" spans="1:2">
      <c r="A13203" s="55"/>
      <c r="B13203"/>
    </row>
    <row r="13204" spans="1:2">
      <c r="A13204" s="55"/>
      <c r="B13204"/>
    </row>
    <row r="13205" spans="1:2">
      <c r="A13205" s="55"/>
      <c r="B13205"/>
    </row>
    <row r="13206" spans="1:2">
      <c r="A13206" s="55"/>
      <c r="B13206"/>
    </row>
    <row r="13207" spans="1:2">
      <c r="A13207" s="55"/>
      <c r="B13207"/>
    </row>
    <row r="13208" spans="1:2">
      <c r="A13208" s="55"/>
      <c r="B13208"/>
    </row>
    <row r="13209" spans="1:2">
      <c r="A13209" s="55"/>
      <c r="B13209"/>
    </row>
    <row r="13210" spans="1:2">
      <c r="A13210" s="55"/>
      <c r="B13210"/>
    </row>
    <row r="13211" spans="1:2">
      <c r="A13211" s="55"/>
      <c r="B13211"/>
    </row>
    <row r="13212" spans="1:2">
      <c r="A13212" s="55"/>
      <c r="B13212"/>
    </row>
    <row r="13213" spans="1:2">
      <c r="A13213" s="55"/>
      <c r="B13213"/>
    </row>
    <row r="13214" spans="1:2">
      <c r="A13214" s="55"/>
      <c r="B13214"/>
    </row>
    <row r="13215" spans="1:2">
      <c r="A13215" s="55"/>
      <c r="B13215"/>
    </row>
    <row r="13216" spans="1:2">
      <c r="A13216" s="55"/>
      <c r="B13216"/>
    </row>
    <row r="13217" spans="1:2">
      <c r="A13217" s="55"/>
      <c r="B13217"/>
    </row>
    <row r="13218" spans="1:2">
      <c r="A13218" s="55"/>
      <c r="B13218"/>
    </row>
    <row r="13219" spans="1:2">
      <c r="A13219" s="55"/>
      <c r="B13219"/>
    </row>
    <row r="13220" spans="1:2">
      <c r="A13220" s="55"/>
      <c r="B13220"/>
    </row>
    <row r="13221" spans="1:2">
      <c r="A13221" s="55"/>
      <c r="B13221"/>
    </row>
    <row r="13222" spans="1:2">
      <c r="A13222" s="55"/>
      <c r="B13222"/>
    </row>
    <row r="13223" spans="1:2">
      <c r="A13223" s="55"/>
      <c r="B13223"/>
    </row>
    <row r="13224" spans="1:2">
      <c r="A13224" s="55"/>
      <c r="B13224"/>
    </row>
    <row r="13225" spans="1:2">
      <c r="A13225" s="55"/>
      <c r="B13225"/>
    </row>
    <row r="13226" spans="1:2">
      <c r="A13226" s="55"/>
      <c r="B13226"/>
    </row>
    <row r="13227" spans="1:2">
      <c r="A13227" s="55"/>
      <c r="B13227"/>
    </row>
    <row r="13228" spans="1:2">
      <c r="A13228" s="55"/>
      <c r="B13228"/>
    </row>
    <row r="13229" spans="1:2">
      <c r="A13229" s="55"/>
      <c r="B13229"/>
    </row>
    <row r="13230" spans="1:2">
      <c r="A13230" s="55"/>
      <c r="B13230"/>
    </row>
    <row r="13231" spans="1:2">
      <c r="A13231" s="55"/>
      <c r="B13231"/>
    </row>
    <row r="13232" spans="1:2">
      <c r="A13232" s="55"/>
      <c r="B13232"/>
    </row>
    <row r="13233" spans="1:2">
      <c r="A13233" s="55"/>
      <c r="B13233"/>
    </row>
    <row r="13234" spans="1:2">
      <c r="A13234" s="55"/>
      <c r="B13234"/>
    </row>
    <row r="13235" spans="1:2">
      <c r="A13235" s="55"/>
      <c r="B13235"/>
    </row>
    <row r="13236" spans="1:2">
      <c r="A13236" s="55"/>
      <c r="B13236"/>
    </row>
    <row r="13237" spans="1:2">
      <c r="A13237" s="55"/>
      <c r="B13237"/>
    </row>
    <row r="13238" spans="1:2">
      <c r="A13238" s="55"/>
      <c r="B13238"/>
    </row>
    <row r="13239" spans="1:2">
      <c r="A13239" s="55"/>
      <c r="B13239"/>
    </row>
    <row r="13240" spans="1:2">
      <c r="A13240" s="55"/>
      <c r="B13240"/>
    </row>
    <row r="13241" spans="1:2">
      <c r="A13241" s="55"/>
      <c r="B13241"/>
    </row>
    <row r="13242" spans="1:2">
      <c r="A13242" s="55"/>
      <c r="B13242"/>
    </row>
    <row r="13243" spans="1:2">
      <c r="A13243" s="55"/>
      <c r="B13243"/>
    </row>
    <row r="13244" spans="1:2">
      <c r="A13244" s="55"/>
      <c r="B13244"/>
    </row>
    <row r="13245" spans="1:2">
      <c r="A13245" s="55"/>
      <c r="B13245"/>
    </row>
    <row r="13246" spans="1:2">
      <c r="A13246" s="55"/>
      <c r="B13246"/>
    </row>
    <row r="13247" spans="1:2">
      <c r="A13247" s="55"/>
      <c r="B13247"/>
    </row>
    <row r="13248" spans="1:2">
      <c r="A13248" s="55"/>
      <c r="B13248"/>
    </row>
    <row r="13249" spans="1:2">
      <c r="A13249" s="55"/>
      <c r="B13249"/>
    </row>
    <row r="13250" spans="1:2">
      <c r="A13250" s="55"/>
      <c r="B13250"/>
    </row>
    <row r="13251" spans="1:2">
      <c r="A13251" s="55"/>
      <c r="B13251"/>
    </row>
    <row r="13252" spans="1:2">
      <c r="A13252" s="55"/>
      <c r="B13252"/>
    </row>
    <row r="13253" spans="1:2">
      <c r="A13253" s="55"/>
      <c r="B13253"/>
    </row>
    <row r="13254" spans="1:2">
      <c r="A13254" s="55"/>
      <c r="B13254"/>
    </row>
    <row r="13255" spans="1:2">
      <c r="A13255" s="55"/>
      <c r="B13255"/>
    </row>
    <row r="13256" spans="1:2">
      <c r="A13256" s="55"/>
      <c r="B13256"/>
    </row>
    <row r="13257" spans="1:2">
      <c r="A13257" s="55"/>
      <c r="B13257"/>
    </row>
    <row r="13258" spans="1:2">
      <c r="A13258" s="55"/>
      <c r="B13258"/>
    </row>
    <row r="13259" spans="1:2">
      <c r="A13259" s="55"/>
      <c r="B13259"/>
    </row>
    <row r="13260" spans="1:2">
      <c r="A13260" s="55"/>
      <c r="B13260"/>
    </row>
    <row r="13261" spans="1:2">
      <c r="A13261" s="55"/>
      <c r="B13261"/>
    </row>
    <row r="13262" spans="1:2">
      <c r="A13262" s="55"/>
      <c r="B13262"/>
    </row>
    <row r="13263" spans="1:2">
      <c r="A13263" s="55"/>
      <c r="B13263"/>
    </row>
    <row r="13264" spans="1:2">
      <c r="A13264" s="55"/>
      <c r="B13264"/>
    </row>
    <row r="13265" spans="1:2">
      <c r="A13265" s="55"/>
      <c r="B13265"/>
    </row>
    <row r="13266" spans="1:2">
      <c r="A13266" s="55"/>
      <c r="B13266"/>
    </row>
    <row r="13267" spans="1:2">
      <c r="A13267" s="55"/>
      <c r="B13267"/>
    </row>
    <row r="13268" spans="1:2">
      <c r="A13268" s="55"/>
      <c r="B13268"/>
    </row>
    <row r="13269" spans="1:2">
      <c r="A13269" s="55"/>
      <c r="B13269"/>
    </row>
    <row r="13270" spans="1:2">
      <c r="A13270" s="55"/>
      <c r="B13270"/>
    </row>
    <row r="13271" spans="1:2">
      <c r="A13271" s="55"/>
      <c r="B13271"/>
    </row>
    <row r="13272" spans="1:2">
      <c r="A13272" s="55"/>
      <c r="B13272"/>
    </row>
    <row r="13273" spans="1:2">
      <c r="A13273" s="55"/>
      <c r="B13273"/>
    </row>
    <row r="13274" spans="1:2">
      <c r="A13274" s="55"/>
      <c r="B13274"/>
    </row>
    <row r="13275" spans="1:2">
      <c r="A13275" s="55"/>
      <c r="B13275"/>
    </row>
    <row r="13276" spans="1:2">
      <c r="A13276" s="55"/>
      <c r="B13276"/>
    </row>
    <row r="13277" spans="1:2">
      <c r="A13277" s="55"/>
      <c r="B13277"/>
    </row>
    <row r="13278" spans="1:2">
      <c r="A13278" s="55"/>
      <c r="B13278"/>
    </row>
    <row r="13279" spans="1:2">
      <c r="A13279" s="55"/>
      <c r="B13279"/>
    </row>
    <row r="13280" spans="1:2">
      <c r="A13280" s="55"/>
      <c r="B13280"/>
    </row>
    <row r="13281" spans="1:2">
      <c r="A13281" s="55"/>
      <c r="B13281"/>
    </row>
    <row r="13282" spans="1:2">
      <c r="A13282" s="55"/>
      <c r="B13282"/>
    </row>
    <row r="13283" spans="1:2">
      <c r="A13283" s="55"/>
      <c r="B13283"/>
    </row>
    <row r="13284" spans="1:2">
      <c r="A13284" s="55"/>
      <c r="B13284"/>
    </row>
    <row r="13285" spans="1:2">
      <c r="A13285" s="55"/>
      <c r="B13285"/>
    </row>
    <row r="13286" spans="1:2">
      <c r="A13286" s="55"/>
      <c r="B13286"/>
    </row>
    <row r="13287" spans="1:2">
      <c r="A13287" s="55"/>
      <c r="B13287"/>
    </row>
    <row r="13288" spans="1:2">
      <c r="A13288" s="55"/>
      <c r="B13288"/>
    </row>
    <row r="13289" spans="1:2">
      <c r="A13289" s="55"/>
      <c r="B13289"/>
    </row>
    <row r="13290" spans="1:2">
      <c r="A13290" s="55"/>
      <c r="B13290"/>
    </row>
    <row r="13291" spans="1:2">
      <c r="A13291" s="55"/>
      <c r="B13291"/>
    </row>
    <row r="13292" spans="1:2">
      <c r="A13292" s="55"/>
      <c r="B13292"/>
    </row>
    <row r="13293" spans="1:2">
      <c r="A13293" s="55"/>
      <c r="B13293"/>
    </row>
    <row r="13294" spans="1:2">
      <c r="A13294" s="55"/>
      <c r="B13294"/>
    </row>
    <row r="13295" spans="1:2">
      <c r="A13295" s="55"/>
      <c r="B13295"/>
    </row>
    <row r="13296" spans="1:2">
      <c r="A13296" s="55"/>
      <c r="B13296"/>
    </row>
    <row r="13297" spans="1:2">
      <c r="A13297" s="55"/>
      <c r="B13297"/>
    </row>
    <row r="13298" spans="1:2">
      <c r="A13298" s="55"/>
      <c r="B13298"/>
    </row>
    <row r="13299" spans="1:2">
      <c r="A13299" s="55"/>
      <c r="B13299"/>
    </row>
    <row r="13300" spans="1:2">
      <c r="A13300" s="55"/>
      <c r="B13300"/>
    </row>
    <row r="13301" spans="1:2">
      <c r="A13301" s="55"/>
      <c r="B13301"/>
    </row>
    <row r="13302" spans="1:2">
      <c r="A13302" s="55"/>
      <c r="B13302"/>
    </row>
    <row r="13303" spans="1:2">
      <c r="A13303" s="55"/>
      <c r="B13303"/>
    </row>
    <row r="13304" spans="1:2">
      <c r="A13304" s="55"/>
      <c r="B13304"/>
    </row>
    <row r="13305" spans="1:2">
      <c r="A13305" s="55"/>
      <c r="B13305"/>
    </row>
    <row r="13306" spans="1:2">
      <c r="A13306" s="55"/>
      <c r="B13306"/>
    </row>
    <row r="13307" spans="1:2">
      <c r="A13307" s="55"/>
      <c r="B13307"/>
    </row>
    <row r="13308" spans="1:2">
      <c r="A13308" s="55"/>
      <c r="B13308"/>
    </row>
    <row r="13309" spans="1:2">
      <c r="A13309" s="55"/>
      <c r="B13309"/>
    </row>
    <row r="13310" spans="1:2">
      <c r="A13310" s="55"/>
      <c r="B13310"/>
    </row>
    <row r="13311" spans="1:2">
      <c r="A13311" s="55"/>
      <c r="B13311"/>
    </row>
    <row r="13312" spans="1:2">
      <c r="A13312" s="55"/>
      <c r="B13312"/>
    </row>
    <row r="13313" spans="1:2">
      <c r="A13313" s="55"/>
      <c r="B13313"/>
    </row>
    <row r="13314" spans="1:2">
      <c r="A13314" s="55"/>
      <c r="B13314"/>
    </row>
    <row r="13315" spans="1:2">
      <c r="A13315" s="55"/>
      <c r="B13315"/>
    </row>
    <row r="13316" spans="1:2">
      <c r="A13316" s="55"/>
      <c r="B13316"/>
    </row>
    <row r="13317" spans="1:2">
      <c r="A13317" s="55"/>
      <c r="B13317"/>
    </row>
    <row r="13318" spans="1:2">
      <c r="A13318" s="55"/>
      <c r="B13318"/>
    </row>
    <row r="13319" spans="1:2">
      <c r="A13319" s="55"/>
      <c r="B13319"/>
    </row>
    <row r="13320" spans="1:2">
      <c r="A13320" s="55"/>
      <c r="B13320"/>
    </row>
    <row r="13321" spans="1:2">
      <c r="A13321" s="55"/>
      <c r="B13321"/>
    </row>
    <row r="13322" spans="1:2">
      <c r="A13322" s="55"/>
      <c r="B13322"/>
    </row>
    <row r="13323" spans="1:2">
      <c r="A13323" s="55"/>
      <c r="B13323"/>
    </row>
    <row r="13324" spans="1:2">
      <c r="A13324" s="55"/>
      <c r="B13324"/>
    </row>
    <row r="13325" spans="1:2">
      <c r="A13325" s="55"/>
      <c r="B13325"/>
    </row>
    <row r="13326" spans="1:2">
      <c r="A13326" s="55"/>
      <c r="B13326"/>
    </row>
    <row r="13327" spans="1:2">
      <c r="A13327" s="55"/>
      <c r="B13327"/>
    </row>
    <row r="13328" spans="1:2">
      <c r="A13328" s="55"/>
      <c r="B13328"/>
    </row>
    <row r="13329" spans="1:2">
      <c r="A13329" s="55"/>
      <c r="B13329"/>
    </row>
    <row r="13330" spans="1:2">
      <c r="A13330" s="55"/>
      <c r="B13330"/>
    </row>
    <row r="13331" spans="1:2">
      <c r="A13331" s="55"/>
      <c r="B13331"/>
    </row>
    <row r="13332" spans="1:2">
      <c r="A13332" s="55"/>
      <c r="B13332"/>
    </row>
    <row r="13333" spans="1:2">
      <c r="A13333" s="55"/>
      <c r="B13333"/>
    </row>
    <row r="13334" spans="1:2">
      <c r="A13334" s="55"/>
      <c r="B13334"/>
    </row>
    <row r="13335" spans="1:2">
      <c r="A13335" s="55"/>
      <c r="B13335"/>
    </row>
    <row r="13336" spans="1:2">
      <c r="A13336" s="55"/>
      <c r="B13336"/>
    </row>
    <row r="13337" spans="1:2">
      <c r="A13337" s="55"/>
      <c r="B13337"/>
    </row>
    <row r="13338" spans="1:2">
      <c r="A13338" s="55"/>
      <c r="B13338"/>
    </row>
    <row r="13339" spans="1:2">
      <c r="A13339" s="55"/>
      <c r="B13339"/>
    </row>
    <row r="13340" spans="1:2">
      <c r="A13340" s="55"/>
      <c r="B13340"/>
    </row>
    <row r="13341" spans="1:2">
      <c r="A13341" s="55"/>
      <c r="B13341"/>
    </row>
    <row r="13342" spans="1:2">
      <c r="A13342" s="55"/>
      <c r="B13342"/>
    </row>
    <row r="13343" spans="1:2">
      <c r="A13343" s="55"/>
      <c r="B13343"/>
    </row>
    <row r="13344" spans="1:2">
      <c r="A13344" s="55"/>
      <c r="B13344"/>
    </row>
    <row r="13345" spans="1:2">
      <c r="A13345" s="55"/>
      <c r="B13345"/>
    </row>
    <row r="13346" spans="1:2">
      <c r="A13346" s="55"/>
      <c r="B13346"/>
    </row>
    <row r="13347" spans="1:2">
      <c r="A13347" s="55"/>
      <c r="B13347"/>
    </row>
    <row r="13348" spans="1:2">
      <c r="A13348" s="55"/>
      <c r="B13348"/>
    </row>
    <row r="13349" spans="1:2">
      <c r="A13349" s="55"/>
      <c r="B13349"/>
    </row>
    <row r="13350" spans="1:2">
      <c r="A13350" s="55"/>
      <c r="B13350"/>
    </row>
    <row r="13351" spans="1:2">
      <c r="A13351" s="55"/>
      <c r="B13351"/>
    </row>
    <row r="13352" spans="1:2">
      <c r="A13352" s="55"/>
      <c r="B13352"/>
    </row>
    <row r="13353" spans="1:2">
      <c r="A13353" s="55"/>
      <c r="B13353"/>
    </row>
    <row r="13354" spans="1:2">
      <c r="A13354" s="55"/>
      <c r="B13354"/>
    </row>
    <row r="13355" spans="1:2">
      <c r="A13355" s="55"/>
      <c r="B13355"/>
    </row>
    <row r="13356" spans="1:2">
      <c r="A13356" s="55"/>
      <c r="B13356"/>
    </row>
    <row r="13357" spans="1:2">
      <c r="A13357" s="55"/>
      <c r="B13357"/>
    </row>
    <row r="13358" spans="1:2">
      <c r="A13358" s="55"/>
      <c r="B13358"/>
    </row>
    <row r="13359" spans="1:2">
      <c r="A13359" s="55"/>
      <c r="B13359"/>
    </row>
    <row r="13360" spans="1:2">
      <c r="A13360" s="55"/>
      <c r="B13360"/>
    </row>
    <row r="13361" spans="1:2">
      <c r="A13361" s="55"/>
      <c r="B13361"/>
    </row>
    <row r="13362" spans="1:2">
      <c r="A13362" s="55"/>
      <c r="B13362"/>
    </row>
    <row r="13363" spans="1:2">
      <c r="A13363" s="55"/>
      <c r="B13363"/>
    </row>
    <row r="13364" spans="1:2">
      <c r="A13364" s="55"/>
      <c r="B13364"/>
    </row>
    <row r="13365" spans="1:2">
      <c r="A13365" s="55"/>
      <c r="B13365"/>
    </row>
    <row r="13366" spans="1:2">
      <c r="A13366" s="55"/>
      <c r="B13366"/>
    </row>
    <row r="13367" spans="1:2">
      <c r="A13367" s="55"/>
      <c r="B13367"/>
    </row>
    <row r="13368" spans="1:2">
      <c r="A13368" s="55"/>
      <c r="B13368"/>
    </row>
    <row r="13369" spans="1:2">
      <c r="A13369" s="55"/>
      <c r="B13369"/>
    </row>
    <row r="13370" spans="1:2">
      <c r="A13370" s="55"/>
      <c r="B13370"/>
    </row>
    <row r="13371" spans="1:2">
      <c r="A13371" s="55"/>
      <c r="B13371"/>
    </row>
    <row r="13372" spans="1:2">
      <c r="A13372" s="55"/>
      <c r="B13372"/>
    </row>
    <row r="13373" spans="1:2">
      <c r="A13373" s="55"/>
      <c r="B13373"/>
    </row>
    <row r="13374" spans="1:2">
      <c r="A13374" s="55"/>
      <c r="B13374"/>
    </row>
    <row r="13375" spans="1:2">
      <c r="A13375" s="55"/>
      <c r="B13375"/>
    </row>
    <row r="13376" spans="1:2">
      <c r="A13376" s="55"/>
      <c r="B13376"/>
    </row>
    <row r="13377" spans="1:2">
      <c r="A13377" s="55"/>
      <c r="B13377"/>
    </row>
    <row r="13378" spans="1:2">
      <c r="A13378" s="55"/>
      <c r="B13378"/>
    </row>
    <row r="13379" spans="1:2">
      <c r="A13379" s="55"/>
      <c r="B13379"/>
    </row>
    <row r="13380" spans="1:2">
      <c r="A13380" s="55"/>
      <c r="B13380"/>
    </row>
    <row r="13381" spans="1:2">
      <c r="A13381" s="55"/>
      <c r="B13381"/>
    </row>
    <row r="13382" spans="1:2">
      <c r="A13382" s="55"/>
      <c r="B13382"/>
    </row>
    <row r="13383" spans="1:2">
      <c r="A13383" s="55"/>
      <c r="B13383"/>
    </row>
    <row r="13384" spans="1:2">
      <c r="A13384" s="55"/>
      <c r="B13384"/>
    </row>
    <row r="13385" spans="1:2">
      <c r="A13385" s="55"/>
      <c r="B13385"/>
    </row>
    <row r="13386" spans="1:2">
      <c r="A13386" s="55"/>
      <c r="B13386"/>
    </row>
    <row r="13387" spans="1:2">
      <c r="A13387" s="55"/>
      <c r="B13387"/>
    </row>
    <row r="13388" spans="1:2">
      <c r="A13388" s="55"/>
      <c r="B13388"/>
    </row>
    <row r="13389" spans="1:2">
      <c r="A13389" s="55"/>
      <c r="B13389"/>
    </row>
    <row r="13390" spans="1:2">
      <c r="A13390" s="55"/>
      <c r="B13390"/>
    </row>
    <row r="13391" spans="1:2">
      <c r="A13391" s="55"/>
      <c r="B13391"/>
    </row>
    <row r="13392" spans="1:2">
      <c r="A13392" s="55"/>
      <c r="B13392"/>
    </row>
    <row r="13393" spans="1:2">
      <c r="A13393" s="55"/>
      <c r="B13393"/>
    </row>
    <row r="13394" spans="1:2">
      <c r="A13394" s="55"/>
      <c r="B13394"/>
    </row>
    <row r="13395" spans="1:2">
      <c r="A13395" s="55"/>
      <c r="B13395"/>
    </row>
    <row r="13396" spans="1:2">
      <c r="A13396" s="55"/>
      <c r="B13396"/>
    </row>
    <row r="13397" spans="1:2">
      <c r="A13397" s="55"/>
      <c r="B13397"/>
    </row>
    <row r="13398" spans="1:2">
      <c r="A13398" s="55"/>
      <c r="B13398"/>
    </row>
    <row r="13399" spans="1:2">
      <c r="A13399" s="55"/>
      <c r="B13399"/>
    </row>
    <row r="13400" spans="1:2">
      <c r="A13400" s="55"/>
      <c r="B13400"/>
    </row>
    <row r="13401" spans="1:2">
      <c r="A13401" s="55"/>
      <c r="B13401"/>
    </row>
    <row r="13402" spans="1:2">
      <c r="A13402" s="55"/>
      <c r="B13402"/>
    </row>
    <row r="13403" spans="1:2">
      <c r="A13403" s="55"/>
      <c r="B13403"/>
    </row>
    <row r="13404" spans="1:2">
      <c r="A13404" s="55"/>
      <c r="B13404"/>
    </row>
    <row r="13405" spans="1:2">
      <c r="A13405" s="55"/>
      <c r="B13405"/>
    </row>
    <row r="13406" spans="1:2">
      <c r="A13406" s="55"/>
      <c r="B13406"/>
    </row>
    <row r="13407" spans="1:2">
      <c r="A13407" s="55"/>
      <c r="B13407"/>
    </row>
    <row r="13408" spans="1:2">
      <c r="A13408" s="55"/>
      <c r="B13408"/>
    </row>
    <row r="13409" spans="1:2">
      <c r="A13409" s="55"/>
      <c r="B13409"/>
    </row>
    <row r="13410" spans="1:2">
      <c r="A13410" s="55"/>
      <c r="B13410"/>
    </row>
    <row r="13411" spans="1:2">
      <c r="A13411" s="55"/>
      <c r="B13411"/>
    </row>
    <row r="13412" spans="1:2">
      <c r="A13412" s="55"/>
      <c r="B13412"/>
    </row>
    <row r="13413" spans="1:2">
      <c r="A13413" s="55"/>
      <c r="B13413"/>
    </row>
    <row r="13414" spans="1:2">
      <c r="A13414" s="55"/>
      <c r="B13414"/>
    </row>
    <row r="13415" spans="1:2">
      <c r="A13415" s="55"/>
      <c r="B13415"/>
    </row>
    <row r="13416" spans="1:2">
      <c r="A13416" s="55"/>
      <c r="B13416"/>
    </row>
    <row r="13417" spans="1:2">
      <c r="A13417" s="55"/>
      <c r="B13417"/>
    </row>
    <row r="13418" spans="1:2">
      <c r="A13418" s="55"/>
      <c r="B13418"/>
    </row>
    <row r="13419" spans="1:2">
      <c r="A13419" s="55"/>
      <c r="B13419"/>
    </row>
    <row r="13420" spans="1:2">
      <c r="A13420" s="55"/>
      <c r="B13420"/>
    </row>
    <row r="13421" spans="1:2">
      <c r="A13421" s="55"/>
      <c r="B13421"/>
    </row>
    <row r="13422" spans="1:2">
      <c r="A13422" s="55"/>
      <c r="B13422"/>
    </row>
    <row r="13423" spans="1:2">
      <c r="A13423" s="55"/>
      <c r="B13423"/>
    </row>
    <row r="13424" spans="1:2">
      <c r="A13424" s="55"/>
      <c r="B13424"/>
    </row>
    <row r="13425" spans="1:2">
      <c r="A13425" s="55"/>
      <c r="B13425"/>
    </row>
    <row r="13426" spans="1:2">
      <c r="A13426" s="55"/>
      <c r="B13426"/>
    </row>
    <row r="13427" spans="1:2">
      <c r="A13427" s="55"/>
      <c r="B13427"/>
    </row>
    <row r="13428" spans="1:2">
      <c r="A13428" s="55"/>
      <c r="B13428"/>
    </row>
    <row r="13429" spans="1:2">
      <c r="A13429" s="55"/>
      <c r="B13429"/>
    </row>
    <row r="13430" spans="1:2">
      <c r="A13430" s="55"/>
      <c r="B13430"/>
    </row>
    <row r="13431" spans="1:2">
      <c r="A13431" s="55"/>
      <c r="B13431"/>
    </row>
    <row r="13432" spans="1:2">
      <c r="A13432" s="55"/>
      <c r="B13432"/>
    </row>
    <row r="13433" spans="1:2">
      <c r="A13433" s="55"/>
      <c r="B13433"/>
    </row>
    <row r="13434" spans="1:2">
      <c r="A13434" s="55"/>
      <c r="B13434"/>
    </row>
    <row r="13435" spans="1:2">
      <c r="A13435" s="55"/>
      <c r="B13435"/>
    </row>
    <row r="13436" spans="1:2">
      <c r="A13436" s="55"/>
      <c r="B13436"/>
    </row>
    <row r="13437" spans="1:2">
      <c r="A13437" s="55"/>
      <c r="B13437"/>
    </row>
    <row r="13438" spans="1:2">
      <c r="A13438" s="55"/>
      <c r="B13438"/>
    </row>
    <row r="13439" spans="1:2">
      <c r="A13439" s="55"/>
      <c r="B13439"/>
    </row>
    <row r="13440" spans="1:2">
      <c r="A13440" s="55"/>
      <c r="B13440"/>
    </row>
    <row r="13441" spans="1:2">
      <c r="A13441" s="55"/>
      <c r="B13441"/>
    </row>
    <row r="13442" spans="1:2">
      <c r="A13442" s="55"/>
      <c r="B13442"/>
    </row>
    <row r="13443" spans="1:2">
      <c r="A13443" s="55"/>
      <c r="B13443"/>
    </row>
    <row r="13444" spans="1:2">
      <c r="A13444" s="55"/>
      <c r="B13444"/>
    </row>
    <row r="13445" spans="1:2">
      <c r="A13445" s="55"/>
      <c r="B13445"/>
    </row>
    <row r="13446" spans="1:2">
      <c r="A13446" s="55"/>
      <c r="B13446"/>
    </row>
    <row r="13447" spans="1:2">
      <c r="A13447" s="55"/>
      <c r="B13447"/>
    </row>
    <row r="13448" spans="1:2">
      <c r="A13448" s="55"/>
      <c r="B13448"/>
    </row>
    <row r="13449" spans="1:2">
      <c r="A13449" s="55"/>
      <c r="B13449"/>
    </row>
    <row r="13450" spans="1:2">
      <c r="A13450" s="55"/>
      <c r="B13450"/>
    </row>
    <row r="13451" spans="1:2">
      <c r="A13451" s="55"/>
      <c r="B13451"/>
    </row>
    <row r="13452" spans="1:2">
      <c r="A13452" s="55"/>
      <c r="B13452"/>
    </row>
    <row r="13453" spans="1:2">
      <c r="A13453" s="55"/>
      <c r="B13453"/>
    </row>
    <row r="13454" spans="1:2">
      <c r="A13454" s="55"/>
      <c r="B13454"/>
    </row>
    <row r="13455" spans="1:2">
      <c r="A13455" s="55"/>
      <c r="B13455"/>
    </row>
    <row r="13456" spans="1:2">
      <c r="A13456" s="55"/>
      <c r="B13456"/>
    </row>
    <row r="13457" spans="1:2">
      <c r="A13457" s="55"/>
      <c r="B13457"/>
    </row>
    <row r="13458" spans="1:2">
      <c r="A13458" s="55"/>
      <c r="B13458"/>
    </row>
    <row r="13459" spans="1:2">
      <c r="A13459" s="55"/>
      <c r="B13459"/>
    </row>
    <row r="13460" spans="1:2">
      <c r="A13460" s="55"/>
      <c r="B13460"/>
    </row>
    <row r="13461" spans="1:2">
      <c r="A13461" s="55"/>
      <c r="B13461"/>
    </row>
    <row r="13462" spans="1:2">
      <c r="A13462" s="55"/>
      <c r="B13462"/>
    </row>
    <row r="13463" spans="1:2">
      <c r="A13463" s="55"/>
      <c r="B13463"/>
    </row>
    <row r="13464" spans="1:2">
      <c r="A13464" s="55"/>
      <c r="B13464"/>
    </row>
    <row r="13465" spans="1:2">
      <c r="A13465" s="55"/>
      <c r="B13465"/>
    </row>
    <row r="13466" spans="1:2">
      <c r="A13466" s="55"/>
      <c r="B13466"/>
    </row>
    <row r="13467" spans="1:2">
      <c r="A13467" s="55"/>
      <c r="B13467"/>
    </row>
    <row r="13468" spans="1:2">
      <c r="A13468" s="55"/>
      <c r="B13468"/>
    </row>
    <row r="13469" spans="1:2">
      <c r="A13469" s="55"/>
      <c r="B13469"/>
    </row>
    <row r="13470" spans="1:2">
      <c r="A13470" s="55"/>
      <c r="B13470"/>
    </row>
    <row r="13471" spans="1:2">
      <c r="A13471" s="55"/>
      <c r="B13471"/>
    </row>
    <row r="13472" spans="1:2">
      <c r="A13472" s="55"/>
      <c r="B13472"/>
    </row>
    <row r="13473" spans="1:2">
      <c r="A13473" s="55"/>
      <c r="B13473"/>
    </row>
    <row r="13474" spans="1:2">
      <c r="A13474" s="55"/>
      <c r="B13474"/>
    </row>
    <row r="13475" spans="1:2">
      <c r="A13475" s="55"/>
      <c r="B13475"/>
    </row>
    <row r="13476" spans="1:2">
      <c r="A13476" s="55"/>
      <c r="B13476"/>
    </row>
    <row r="13477" spans="1:2">
      <c r="A13477" s="55"/>
      <c r="B13477"/>
    </row>
    <row r="13478" spans="1:2">
      <c r="A13478" s="55"/>
      <c r="B13478"/>
    </row>
    <row r="13479" spans="1:2">
      <c r="A13479" s="55"/>
      <c r="B13479"/>
    </row>
    <row r="13480" spans="1:2">
      <c r="A13480" s="55"/>
      <c r="B13480"/>
    </row>
    <row r="13481" spans="1:2">
      <c r="A13481" s="55"/>
      <c r="B13481"/>
    </row>
    <row r="13482" spans="1:2">
      <c r="A13482" s="55"/>
      <c r="B13482"/>
    </row>
    <row r="13483" spans="1:2">
      <c r="A13483" s="55"/>
      <c r="B13483"/>
    </row>
    <row r="13484" spans="1:2">
      <c r="A13484" s="55"/>
      <c r="B13484"/>
    </row>
    <row r="13485" spans="1:2">
      <c r="A13485" s="55"/>
      <c r="B13485"/>
    </row>
    <row r="13486" spans="1:2">
      <c r="A13486" s="55"/>
      <c r="B13486"/>
    </row>
    <row r="13487" spans="1:2">
      <c r="A13487" s="55"/>
      <c r="B13487"/>
    </row>
    <row r="13488" spans="1:2">
      <c r="A13488" s="55"/>
      <c r="B13488"/>
    </row>
    <row r="13489" spans="1:2">
      <c r="A13489" s="55"/>
      <c r="B13489"/>
    </row>
    <row r="13490" spans="1:2">
      <c r="A13490" s="55"/>
      <c r="B13490"/>
    </row>
    <row r="13491" spans="1:2">
      <c r="A13491" s="55"/>
      <c r="B13491"/>
    </row>
    <row r="13492" spans="1:2">
      <c r="A13492" s="55"/>
      <c r="B13492"/>
    </row>
    <row r="13493" spans="1:2">
      <c r="A13493" s="55"/>
      <c r="B13493"/>
    </row>
    <row r="13494" spans="1:2">
      <c r="A13494" s="55"/>
      <c r="B13494"/>
    </row>
    <row r="13495" spans="1:2">
      <c r="A13495" s="55"/>
      <c r="B13495"/>
    </row>
    <row r="13496" spans="1:2">
      <c r="A13496" s="55"/>
      <c r="B13496"/>
    </row>
    <row r="13497" spans="1:2">
      <c r="A13497" s="55"/>
      <c r="B13497"/>
    </row>
    <row r="13498" spans="1:2">
      <c r="A13498" s="55"/>
      <c r="B13498"/>
    </row>
    <row r="13499" spans="1:2">
      <c r="A13499" s="55"/>
      <c r="B13499"/>
    </row>
    <row r="13500" spans="1:2">
      <c r="A13500" s="55"/>
      <c r="B13500"/>
    </row>
    <row r="13501" spans="1:2">
      <c r="A13501" s="55"/>
      <c r="B13501"/>
    </row>
    <row r="13502" spans="1:2">
      <c r="A13502" s="55"/>
      <c r="B13502"/>
    </row>
    <row r="13503" spans="1:2">
      <c r="A13503" s="55"/>
      <c r="B13503"/>
    </row>
    <row r="13504" spans="1:2">
      <c r="A13504" s="55"/>
      <c r="B13504"/>
    </row>
    <row r="13505" spans="1:2">
      <c r="A13505" s="55"/>
      <c r="B13505"/>
    </row>
    <row r="13506" spans="1:2">
      <c r="A13506" s="55"/>
      <c r="B13506"/>
    </row>
    <row r="13507" spans="1:2">
      <c r="A13507" s="55"/>
      <c r="B13507"/>
    </row>
    <row r="13508" spans="1:2">
      <c r="A13508" s="55"/>
      <c r="B13508"/>
    </row>
    <row r="13509" spans="1:2">
      <c r="A13509" s="55"/>
      <c r="B13509"/>
    </row>
    <row r="13510" spans="1:2">
      <c r="A13510" s="55"/>
      <c r="B13510"/>
    </row>
    <row r="13511" spans="1:2">
      <c r="A13511" s="55"/>
      <c r="B13511"/>
    </row>
    <row r="13512" spans="1:2">
      <c r="A13512" s="55"/>
      <c r="B13512"/>
    </row>
    <row r="13513" spans="1:2">
      <c r="A13513" s="55"/>
      <c r="B13513"/>
    </row>
    <row r="13514" spans="1:2">
      <c r="A13514" s="55"/>
      <c r="B13514"/>
    </row>
    <row r="13515" spans="1:2">
      <c r="A13515" s="55"/>
      <c r="B13515"/>
    </row>
    <row r="13516" spans="1:2">
      <c r="A13516" s="55"/>
      <c r="B13516"/>
    </row>
    <row r="13517" spans="1:2">
      <c r="A13517" s="55"/>
      <c r="B13517"/>
    </row>
    <row r="13518" spans="1:2">
      <c r="A13518" s="55"/>
      <c r="B13518"/>
    </row>
    <row r="13519" spans="1:2">
      <c r="A13519" s="55"/>
      <c r="B13519"/>
    </row>
    <row r="13520" spans="1:2">
      <c r="A13520" s="55"/>
      <c r="B13520"/>
    </row>
    <row r="13521" spans="1:2">
      <c r="A13521" s="55"/>
      <c r="B13521"/>
    </row>
    <row r="13522" spans="1:2">
      <c r="A13522" s="55"/>
      <c r="B13522"/>
    </row>
    <row r="13523" spans="1:2">
      <c r="A13523" s="55"/>
      <c r="B13523"/>
    </row>
    <row r="13524" spans="1:2">
      <c r="A13524" s="55"/>
      <c r="B13524"/>
    </row>
    <row r="13525" spans="1:2">
      <c r="A13525" s="55"/>
      <c r="B13525"/>
    </row>
    <row r="13526" spans="1:2">
      <c r="A13526" s="55"/>
      <c r="B13526"/>
    </row>
    <row r="13527" spans="1:2">
      <c r="A13527" s="55"/>
      <c r="B13527"/>
    </row>
    <row r="13528" spans="1:2">
      <c r="A13528" s="55"/>
      <c r="B13528"/>
    </row>
    <row r="13529" spans="1:2">
      <c r="A13529" s="55"/>
      <c r="B13529"/>
    </row>
    <row r="13530" spans="1:2">
      <c r="A13530" s="55"/>
      <c r="B13530"/>
    </row>
    <row r="13531" spans="1:2">
      <c r="A13531" s="55"/>
      <c r="B13531"/>
    </row>
    <row r="13532" spans="1:2">
      <c r="A13532" s="55"/>
      <c r="B13532"/>
    </row>
    <row r="13533" spans="1:2">
      <c r="A13533" s="55"/>
      <c r="B13533"/>
    </row>
    <row r="13534" spans="1:2">
      <c r="A13534" s="55"/>
      <c r="B13534"/>
    </row>
    <row r="13535" spans="1:2">
      <c r="A13535" s="55"/>
      <c r="B13535"/>
    </row>
    <row r="13536" spans="1:2">
      <c r="A13536" s="55"/>
      <c r="B13536"/>
    </row>
    <row r="13537" spans="1:2">
      <c r="A13537" s="55"/>
      <c r="B13537"/>
    </row>
    <row r="13538" spans="1:2">
      <c r="A13538" s="55"/>
      <c r="B13538"/>
    </row>
    <row r="13539" spans="1:2">
      <c r="A13539" s="55"/>
      <c r="B13539"/>
    </row>
    <row r="13540" spans="1:2">
      <c r="A13540" s="55"/>
      <c r="B13540"/>
    </row>
    <row r="13541" spans="1:2">
      <c r="A13541" s="55"/>
      <c r="B13541"/>
    </row>
    <row r="13542" spans="1:2">
      <c r="A13542" s="55"/>
      <c r="B13542"/>
    </row>
    <row r="13543" spans="1:2">
      <c r="A13543" s="55"/>
      <c r="B13543"/>
    </row>
    <row r="13544" spans="1:2">
      <c r="A13544" s="55"/>
      <c r="B13544"/>
    </row>
    <row r="13545" spans="1:2">
      <c r="A13545" s="55"/>
      <c r="B13545"/>
    </row>
    <row r="13546" spans="1:2">
      <c r="A13546" s="55"/>
      <c r="B13546"/>
    </row>
    <row r="13547" spans="1:2">
      <c r="A13547" s="55"/>
      <c r="B13547"/>
    </row>
    <row r="13548" spans="1:2">
      <c r="A13548" s="55"/>
      <c r="B13548"/>
    </row>
    <row r="13549" spans="1:2">
      <c r="A13549" s="55"/>
      <c r="B13549"/>
    </row>
    <row r="13550" spans="1:2">
      <c r="A13550" s="55"/>
      <c r="B13550"/>
    </row>
    <row r="13551" spans="1:2">
      <c r="A13551" s="55"/>
      <c r="B13551"/>
    </row>
    <row r="13552" spans="1:2">
      <c r="A13552" s="55"/>
      <c r="B13552"/>
    </row>
    <row r="13553" spans="1:2">
      <c r="A13553" s="55"/>
      <c r="B13553"/>
    </row>
    <row r="13554" spans="1:2">
      <c r="A13554" s="55"/>
      <c r="B13554"/>
    </row>
    <row r="13555" spans="1:2">
      <c r="A13555" s="55"/>
      <c r="B13555"/>
    </row>
    <row r="13556" spans="1:2">
      <c r="A13556" s="55"/>
      <c r="B13556"/>
    </row>
    <row r="13557" spans="1:2">
      <c r="A13557" s="55"/>
      <c r="B13557"/>
    </row>
    <row r="13558" spans="1:2">
      <c r="A13558" s="55"/>
      <c r="B13558"/>
    </row>
    <row r="13559" spans="1:2">
      <c r="A13559" s="55"/>
      <c r="B13559"/>
    </row>
    <row r="13560" spans="1:2">
      <c r="A13560" s="55"/>
      <c r="B13560"/>
    </row>
    <row r="13561" spans="1:2">
      <c r="A13561" s="55"/>
      <c r="B13561"/>
    </row>
    <row r="13562" spans="1:2">
      <c r="A13562" s="55"/>
      <c r="B13562"/>
    </row>
    <row r="13563" spans="1:2">
      <c r="A13563" s="55"/>
      <c r="B13563"/>
    </row>
    <row r="13564" spans="1:2">
      <c r="A13564" s="55"/>
      <c r="B13564"/>
    </row>
    <row r="13565" spans="1:2">
      <c r="A13565" s="55"/>
      <c r="B13565"/>
    </row>
    <row r="13566" spans="1:2">
      <c r="A13566" s="55"/>
      <c r="B13566"/>
    </row>
    <row r="13567" spans="1:2">
      <c r="A13567" s="55"/>
      <c r="B13567"/>
    </row>
    <row r="13568" spans="1:2">
      <c r="A13568" s="55"/>
      <c r="B13568"/>
    </row>
    <row r="13569" spans="1:2">
      <c r="A13569" s="55"/>
      <c r="B13569"/>
    </row>
    <row r="13570" spans="1:2">
      <c r="A13570" s="55"/>
      <c r="B13570"/>
    </row>
    <row r="13571" spans="1:2">
      <c r="A13571" s="55"/>
      <c r="B13571"/>
    </row>
    <row r="13572" spans="1:2">
      <c r="A13572" s="55"/>
      <c r="B13572"/>
    </row>
    <row r="13573" spans="1:2">
      <c r="A13573" s="55"/>
      <c r="B13573"/>
    </row>
    <row r="13574" spans="1:2">
      <c r="A13574" s="55"/>
      <c r="B13574"/>
    </row>
    <row r="13575" spans="1:2">
      <c r="A13575" s="55"/>
      <c r="B13575"/>
    </row>
    <row r="13576" spans="1:2">
      <c r="A13576" s="55"/>
      <c r="B13576"/>
    </row>
    <row r="13577" spans="1:2">
      <c r="A13577" s="55"/>
      <c r="B13577"/>
    </row>
    <row r="13578" spans="1:2">
      <c r="A13578" s="55"/>
      <c r="B13578"/>
    </row>
    <row r="13579" spans="1:2">
      <c r="A13579" s="55"/>
      <c r="B13579"/>
    </row>
    <row r="13580" spans="1:2">
      <c r="A13580" s="55"/>
      <c r="B13580"/>
    </row>
    <row r="13581" spans="1:2">
      <c r="A13581" s="55"/>
      <c r="B13581"/>
    </row>
    <row r="13582" spans="1:2">
      <c r="A13582" s="55"/>
      <c r="B13582"/>
    </row>
    <row r="13583" spans="1:2">
      <c r="A13583" s="55"/>
      <c r="B13583"/>
    </row>
    <row r="13584" spans="1:2">
      <c r="A13584" s="55"/>
      <c r="B13584"/>
    </row>
    <row r="13585" spans="1:2">
      <c r="A13585" s="55"/>
      <c r="B13585"/>
    </row>
    <row r="13586" spans="1:2">
      <c r="A13586" s="55"/>
      <c r="B13586"/>
    </row>
    <row r="13587" spans="1:2">
      <c r="A13587" s="55"/>
      <c r="B13587"/>
    </row>
    <row r="13588" spans="1:2">
      <c r="A13588" s="55"/>
      <c r="B13588"/>
    </row>
    <row r="13589" spans="1:2">
      <c r="A13589" s="55"/>
      <c r="B13589"/>
    </row>
    <row r="13590" spans="1:2">
      <c r="A13590" s="55"/>
      <c r="B13590"/>
    </row>
    <row r="13591" spans="1:2">
      <c r="A13591" s="55"/>
      <c r="B13591"/>
    </row>
    <row r="13592" spans="1:2">
      <c r="A13592" s="55"/>
      <c r="B13592"/>
    </row>
    <row r="13593" spans="1:2">
      <c r="A13593" s="55"/>
      <c r="B13593"/>
    </row>
    <row r="13594" spans="1:2">
      <c r="A13594" s="55"/>
      <c r="B13594"/>
    </row>
    <row r="13595" spans="1:2">
      <c r="A13595" s="55"/>
      <c r="B13595"/>
    </row>
    <row r="13596" spans="1:2">
      <c r="A13596" s="55"/>
      <c r="B13596"/>
    </row>
    <row r="13597" spans="1:2">
      <c r="A13597" s="55"/>
      <c r="B13597"/>
    </row>
    <row r="13598" spans="1:2">
      <c r="A13598" s="55"/>
      <c r="B13598"/>
    </row>
    <row r="13599" spans="1:2">
      <c r="A13599" s="55"/>
      <c r="B13599"/>
    </row>
    <row r="13600" spans="1:2">
      <c r="A13600" s="55"/>
      <c r="B13600"/>
    </row>
    <row r="13601" spans="1:2">
      <c r="A13601" s="55"/>
      <c r="B13601"/>
    </row>
    <row r="13602" spans="1:2">
      <c r="A13602" s="55"/>
      <c r="B13602"/>
    </row>
    <row r="13603" spans="1:2">
      <c r="A13603" s="55"/>
      <c r="B13603"/>
    </row>
    <row r="13604" spans="1:2">
      <c r="A13604" s="55"/>
      <c r="B13604"/>
    </row>
    <row r="13605" spans="1:2">
      <c r="A13605" s="55"/>
      <c r="B13605"/>
    </row>
    <row r="13606" spans="1:2">
      <c r="A13606" s="55"/>
      <c r="B13606"/>
    </row>
    <row r="13607" spans="1:2">
      <c r="A13607" s="55"/>
      <c r="B13607"/>
    </row>
    <row r="13608" spans="1:2">
      <c r="A13608" s="55"/>
      <c r="B13608"/>
    </row>
    <row r="13609" spans="1:2">
      <c r="A13609" s="55"/>
      <c r="B13609"/>
    </row>
    <row r="13610" spans="1:2">
      <c r="A13610" s="55"/>
      <c r="B13610"/>
    </row>
    <row r="13611" spans="1:2">
      <c r="A13611" s="55"/>
      <c r="B13611"/>
    </row>
    <row r="13612" spans="1:2">
      <c r="A13612" s="55"/>
      <c r="B13612"/>
    </row>
    <row r="13613" spans="1:2">
      <c r="A13613" s="55"/>
      <c r="B13613"/>
    </row>
    <row r="13614" spans="1:2">
      <c r="A13614" s="55"/>
      <c r="B13614"/>
    </row>
    <row r="13615" spans="1:2">
      <c r="A13615" s="55"/>
      <c r="B13615"/>
    </row>
    <row r="13616" spans="1:2">
      <c r="A13616" s="55"/>
      <c r="B13616"/>
    </row>
    <row r="13617" spans="1:2">
      <c r="A13617" s="55"/>
      <c r="B13617"/>
    </row>
    <row r="13618" spans="1:2">
      <c r="A13618" s="55"/>
      <c r="B13618"/>
    </row>
    <row r="13619" spans="1:2">
      <c r="A13619" s="55"/>
      <c r="B13619"/>
    </row>
    <row r="13620" spans="1:2">
      <c r="A13620" s="55"/>
      <c r="B13620"/>
    </row>
    <row r="13621" spans="1:2">
      <c r="A13621" s="55"/>
      <c r="B13621"/>
    </row>
    <row r="13622" spans="1:2">
      <c r="A13622" s="55"/>
      <c r="B13622"/>
    </row>
    <row r="13623" spans="1:2">
      <c r="A13623" s="55"/>
      <c r="B13623"/>
    </row>
    <row r="13624" spans="1:2">
      <c r="A13624" s="55"/>
      <c r="B13624"/>
    </row>
    <row r="13625" spans="1:2">
      <c r="A13625" s="55"/>
      <c r="B13625"/>
    </row>
    <row r="13626" spans="1:2">
      <c r="A13626" s="55"/>
      <c r="B13626"/>
    </row>
    <row r="13627" spans="1:2">
      <c r="A13627" s="55"/>
      <c r="B13627"/>
    </row>
    <row r="13628" spans="1:2">
      <c r="A13628" s="55"/>
      <c r="B13628"/>
    </row>
    <row r="13629" spans="1:2">
      <c r="A13629" s="55"/>
      <c r="B13629"/>
    </row>
    <row r="13630" spans="1:2">
      <c r="A13630" s="55"/>
      <c r="B13630"/>
    </row>
    <row r="13631" spans="1:2">
      <c r="A13631" s="55"/>
      <c r="B13631"/>
    </row>
    <row r="13632" spans="1:2">
      <c r="A13632" s="55"/>
      <c r="B13632"/>
    </row>
    <row r="13633" spans="1:2">
      <c r="A13633" s="55"/>
      <c r="B13633"/>
    </row>
    <row r="13634" spans="1:2">
      <c r="A13634" s="55"/>
      <c r="B13634"/>
    </row>
    <row r="13635" spans="1:2">
      <c r="A13635" s="55"/>
      <c r="B13635"/>
    </row>
    <row r="13636" spans="1:2">
      <c r="A13636" s="55"/>
      <c r="B13636"/>
    </row>
    <row r="13637" spans="1:2">
      <c r="A13637" s="55"/>
      <c r="B13637"/>
    </row>
    <row r="13638" spans="1:2">
      <c r="A13638" s="55"/>
      <c r="B13638"/>
    </row>
    <row r="13639" spans="1:2">
      <c r="A13639" s="55"/>
      <c r="B13639"/>
    </row>
    <row r="13640" spans="1:2">
      <c r="A13640" s="55"/>
      <c r="B13640"/>
    </row>
    <row r="13641" spans="1:2">
      <c r="A13641" s="55"/>
      <c r="B13641"/>
    </row>
    <row r="13642" spans="1:2">
      <c r="A13642" s="55"/>
      <c r="B13642"/>
    </row>
    <row r="13643" spans="1:2">
      <c r="A13643" s="55"/>
      <c r="B13643"/>
    </row>
    <row r="13644" spans="1:2">
      <c r="A13644" s="55"/>
      <c r="B13644"/>
    </row>
    <row r="13645" spans="1:2">
      <c r="A13645" s="55"/>
      <c r="B13645"/>
    </row>
    <row r="13646" spans="1:2">
      <c r="A13646" s="55"/>
      <c r="B13646"/>
    </row>
    <row r="13647" spans="1:2">
      <c r="A13647" s="55"/>
      <c r="B13647"/>
    </row>
    <row r="13648" spans="1:2">
      <c r="A13648" s="55"/>
      <c r="B13648"/>
    </row>
    <row r="13649" spans="1:2">
      <c r="A13649" s="55"/>
      <c r="B13649"/>
    </row>
    <row r="13650" spans="1:2">
      <c r="A13650" s="55"/>
      <c r="B13650"/>
    </row>
    <row r="13651" spans="1:2">
      <c r="A13651" s="55"/>
      <c r="B13651"/>
    </row>
    <row r="13652" spans="1:2">
      <c r="A13652" s="55"/>
      <c r="B13652"/>
    </row>
    <row r="13653" spans="1:2">
      <c r="A13653" s="55"/>
      <c r="B13653"/>
    </row>
    <row r="13654" spans="1:2">
      <c r="A13654" s="55"/>
      <c r="B13654"/>
    </row>
    <row r="13655" spans="1:2">
      <c r="A13655" s="55"/>
      <c r="B13655"/>
    </row>
    <row r="13656" spans="1:2">
      <c r="A13656" s="55"/>
      <c r="B13656"/>
    </row>
    <row r="13657" spans="1:2">
      <c r="A13657" s="55"/>
      <c r="B13657"/>
    </row>
    <row r="13658" spans="1:2">
      <c r="A13658" s="55"/>
      <c r="B13658"/>
    </row>
    <row r="13659" spans="1:2">
      <c r="A13659" s="55"/>
      <c r="B13659"/>
    </row>
    <row r="13660" spans="1:2">
      <c r="A13660" s="55"/>
      <c r="B13660"/>
    </row>
    <row r="13661" spans="1:2">
      <c r="A13661" s="55"/>
      <c r="B13661"/>
    </row>
    <row r="13662" spans="1:2">
      <c r="A13662" s="55"/>
      <c r="B13662"/>
    </row>
    <row r="13663" spans="1:2">
      <c r="A13663" s="55"/>
      <c r="B13663"/>
    </row>
    <row r="13664" spans="1:2">
      <c r="A13664" s="55"/>
      <c r="B13664"/>
    </row>
    <row r="13665" spans="1:2">
      <c r="A13665" s="55"/>
      <c r="B13665"/>
    </row>
    <row r="13666" spans="1:2">
      <c r="A13666" s="55"/>
      <c r="B13666"/>
    </row>
    <row r="13667" spans="1:2">
      <c r="A13667" s="55"/>
      <c r="B13667"/>
    </row>
    <row r="13668" spans="1:2">
      <c r="A13668" s="55"/>
      <c r="B13668"/>
    </row>
    <row r="13669" spans="1:2">
      <c r="A13669" s="55"/>
      <c r="B13669"/>
    </row>
    <row r="13670" spans="1:2">
      <c r="A13670" s="55"/>
      <c r="B13670"/>
    </row>
    <row r="13671" spans="1:2">
      <c r="A13671" s="55"/>
      <c r="B13671"/>
    </row>
    <row r="13672" spans="1:2">
      <c r="A13672" s="55"/>
      <c r="B13672"/>
    </row>
    <row r="13673" spans="1:2">
      <c r="A13673" s="55"/>
      <c r="B13673"/>
    </row>
    <row r="13674" spans="1:2">
      <c r="A13674" s="55"/>
      <c r="B13674"/>
    </row>
    <row r="13675" spans="1:2">
      <c r="A13675" s="55"/>
      <c r="B13675"/>
    </row>
    <row r="13676" spans="1:2">
      <c r="A13676" s="55"/>
      <c r="B13676"/>
    </row>
    <row r="13677" spans="1:2">
      <c r="A13677" s="55"/>
      <c r="B13677"/>
    </row>
    <row r="13678" spans="1:2">
      <c r="A13678" s="55"/>
      <c r="B13678"/>
    </row>
    <row r="13679" spans="1:2">
      <c r="A13679" s="55"/>
      <c r="B13679"/>
    </row>
    <row r="13680" spans="1:2">
      <c r="A13680" s="55"/>
      <c r="B13680"/>
    </row>
    <row r="13681" spans="1:2">
      <c r="A13681" s="55"/>
      <c r="B13681"/>
    </row>
    <row r="13682" spans="1:2">
      <c r="A13682" s="55"/>
      <c r="B13682"/>
    </row>
    <row r="13683" spans="1:2">
      <c r="A13683" s="55"/>
      <c r="B13683"/>
    </row>
    <row r="13684" spans="1:2">
      <c r="A13684" s="55"/>
      <c r="B13684"/>
    </row>
    <row r="13685" spans="1:2">
      <c r="A13685" s="55"/>
      <c r="B13685"/>
    </row>
    <row r="13686" spans="1:2">
      <c r="A13686" s="55"/>
      <c r="B13686"/>
    </row>
    <row r="13687" spans="1:2">
      <c r="A13687" s="55"/>
      <c r="B13687"/>
    </row>
    <row r="13688" spans="1:2">
      <c r="A13688" s="55"/>
      <c r="B13688"/>
    </row>
    <row r="13689" spans="1:2">
      <c r="A13689" s="55"/>
      <c r="B13689"/>
    </row>
    <row r="13690" spans="1:2">
      <c r="A13690" s="55"/>
      <c r="B13690"/>
    </row>
    <row r="13691" spans="1:2">
      <c r="A13691" s="55"/>
      <c r="B13691"/>
    </row>
    <row r="13692" spans="1:2">
      <c r="A13692" s="55"/>
      <c r="B13692"/>
    </row>
    <row r="13693" spans="1:2">
      <c r="A13693" s="55"/>
      <c r="B13693"/>
    </row>
    <row r="13694" spans="1:2">
      <c r="A13694" s="55"/>
      <c r="B13694"/>
    </row>
    <row r="13695" spans="1:2">
      <c r="A13695" s="55"/>
      <c r="B13695"/>
    </row>
    <row r="13696" spans="1:2">
      <c r="A13696" s="55"/>
      <c r="B13696"/>
    </row>
    <row r="13697" spans="1:2">
      <c r="A13697" s="55"/>
      <c r="B13697"/>
    </row>
    <row r="13698" spans="1:2">
      <c r="A13698" s="55"/>
      <c r="B13698"/>
    </row>
    <row r="13699" spans="1:2">
      <c r="A13699" s="55"/>
      <c r="B13699"/>
    </row>
    <row r="13700" spans="1:2">
      <c r="A13700" s="55"/>
      <c r="B13700"/>
    </row>
    <row r="13701" spans="1:2">
      <c r="A13701" s="55"/>
      <c r="B13701"/>
    </row>
    <row r="13702" spans="1:2">
      <c r="A13702" s="55"/>
      <c r="B13702"/>
    </row>
    <row r="13703" spans="1:2">
      <c r="A13703" s="55"/>
      <c r="B13703"/>
    </row>
    <row r="13704" spans="1:2">
      <c r="A13704" s="55"/>
      <c r="B13704"/>
    </row>
    <row r="13705" spans="1:2">
      <c r="A13705" s="55"/>
      <c r="B13705"/>
    </row>
    <row r="13706" spans="1:2">
      <c r="A13706" s="55"/>
      <c r="B13706"/>
    </row>
    <row r="13707" spans="1:2">
      <c r="A13707" s="55"/>
      <c r="B13707"/>
    </row>
    <row r="13708" spans="1:2">
      <c r="A13708" s="55"/>
      <c r="B13708"/>
    </row>
    <row r="13709" spans="1:2">
      <c r="A13709" s="55"/>
      <c r="B13709"/>
    </row>
    <row r="13710" spans="1:2">
      <c r="A13710" s="55"/>
      <c r="B13710"/>
    </row>
    <row r="13711" spans="1:2">
      <c r="A13711" s="55"/>
      <c r="B13711"/>
    </row>
    <row r="13712" spans="1:2">
      <c r="A13712" s="55"/>
      <c r="B13712"/>
    </row>
    <row r="13713" spans="1:2">
      <c r="A13713" s="55"/>
      <c r="B13713"/>
    </row>
    <row r="13714" spans="1:2">
      <c r="A13714" s="55"/>
      <c r="B13714"/>
    </row>
    <row r="13715" spans="1:2">
      <c r="A13715" s="55"/>
      <c r="B13715"/>
    </row>
    <row r="13716" spans="1:2">
      <c r="A13716" s="55"/>
      <c r="B13716"/>
    </row>
    <row r="13717" spans="1:2">
      <c r="A13717" s="55"/>
      <c r="B13717"/>
    </row>
    <row r="13718" spans="1:2">
      <c r="A13718" s="55"/>
      <c r="B13718"/>
    </row>
    <row r="13719" spans="1:2">
      <c r="A13719" s="55"/>
      <c r="B13719"/>
    </row>
    <row r="13720" spans="1:2">
      <c r="A13720" s="55"/>
      <c r="B13720"/>
    </row>
    <row r="13721" spans="1:2">
      <c r="A13721" s="55"/>
      <c r="B13721"/>
    </row>
    <row r="13722" spans="1:2">
      <c r="A13722" s="55"/>
      <c r="B13722"/>
    </row>
    <row r="13723" spans="1:2">
      <c r="A13723" s="55"/>
      <c r="B13723"/>
    </row>
    <row r="13724" spans="1:2">
      <c r="A13724" s="55"/>
      <c r="B13724"/>
    </row>
    <row r="13725" spans="1:2">
      <c r="A13725" s="55"/>
      <c r="B13725"/>
    </row>
    <row r="13726" spans="1:2">
      <c r="A13726" s="55"/>
      <c r="B13726"/>
    </row>
    <row r="13727" spans="1:2">
      <c r="A13727" s="55"/>
      <c r="B13727"/>
    </row>
    <row r="13728" spans="1:2">
      <c r="A13728" s="55"/>
      <c r="B13728"/>
    </row>
    <row r="13729" spans="1:2">
      <c r="A13729" s="55"/>
      <c r="B13729"/>
    </row>
    <row r="13730" spans="1:2">
      <c r="A13730" s="55"/>
      <c r="B13730"/>
    </row>
    <row r="13731" spans="1:2">
      <c r="A13731" s="55"/>
      <c r="B13731"/>
    </row>
    <row r="13732" spans="1:2">
      <c r="A13732" s="55"/>
      <c r="B13732"/>
    </row>
    <row r="13733" spans="1:2">
      <c r="A13733" s="55"/>
      <c r="B13733"/>
    </row>
    <row r="13734" spans="1:2">
      <c r="A13734" s="55"/>
      <c r="B13734"/>
    </row>
    <row r="13735" spans="1:2">
      <c r="A13735" s="55"/>
      <c r="B13735"/>
    </row>
    <row r="13736" spans="1:2">
      <c r="A13736" s="55"/>
      <c r="B13736"/>
    </row>
    <row r="13737" spans="1:2">
      <c r="A13737" s="55"/>
      <c r="B13737"/>
    </row>
    <row r="13738" spans="1:2">
      <c r="A13738" s="55"/>
      <c r="B13738"/>
    </row>
    <row r="13739" spans="1:2">
      <c r="A13739" s="55"/>
      <c r="B13739"/>
    </row>
    <row r="13740" spans="1:2">
      <c r="A13740" s="55"/>
      <c r="B13740"/>
    </row>
    <row r="13741" spans="1:2">
      <c r="A13741" s="55"/>
      <c r="B13741"/>
    </row>
    <row r="13742" spans="1:2">
      <c r="A13742" s="55"/>
      <c r="B13742"/>
    </row>
    <row r="13743" spans="1:2">
      <c r="A13743" s="55"/>
      <c r="B13743"/>
    </row>
    <row r="13744" spans="1:2">
      <c r="A13744" s="55"/>
      <c r="B13744"/>
    </row>
    <row r="13745" spans="1:2">
      <c r="A13745" s="55"/>
      <c r="B13745"/>
    </row>
    <row r="13746" spans="1:2">
      <c r="A13746" s="55"/>
      <c r="B13746"/>
    </row>
    <row r="13747" spans="1:2">
      <c r="A13747" s="55"/>
      <c r="B13747"/>
    </row>
    <row r="13748" spans="1:2">
      <c r="A13748" s="55"/>
      <c r="B13748"/>
    </row>
    <row r="13749" spans="1:2">
      <c r="A13749" s="55"/>
      <c r="B13749"/>
    </row>
    <row r="13750" spans="1:2">
      <c r="A13750" s="55"/>
      <c r="B13750"/>
    </row>
    <row r="13751" spans="1:2">
      <c r="A13751" s="55"/>
      <c r="B13751"/>
    </row>
    <row r="13752" spans="1:2">
      <c r="A13752" s="55"/>
      <c r="B13752"/>
    </row>
    <row r="13753" spans="1:2">
      <c r="A13753" s="55"/>
      <c r="B13753"/>
    </row>
    <row r="13754" spans="1:2">
      <c r="A13754" s="55"/>
      <c r="B13754"/>
    </row>
    <row r="13755" spans="1:2">
      <c r="A13755" s="55"/>
      <c r="B13755"/>
    </row>
    <row r="13756" spans="1:2">
      <c r="A13756" s="55"/>
      <c r="B13756"/>
    </row>
    <row r="13757" spans="1:2">
      <c r="A13757" s="55"/>
      <c r="B13757"/>
    </row>
    <row r="13758" spans="1:2">
      <c r="A13758" s="55"/>
      <c r="B13758"/>
    </row>
    <row r="13759" spans="1:2">
      <c r="A13759" s="55"/>
      <c r="B13759"/>
    </row>
    <row r="13760" spans="1:2">
      <c r="A13760" s="55"/>
      <c r="B13760"/>
    </row>
    <row r="13761" spans="1:2">
      <c r="A13761" s="55"/>
      <c r="B13761"/>
    </row>
    <row r="13762" spans="1:2">
      <c r="A13762" s="55"/>
      <c r="B13762"/>
    </row>
    <row r="13763" spans="1:2">
      <c r="A13763" s="55"/>
      <c r="B13763"/>
    </row>
    <row r="13764" spans="1:2">
      <c r="A13764" s="55"/>
      <c r="B13764"/>
    </row>
    <row r="13765" spans="1:2">
      <c r="A13765" s="55"/>
      <c r="B13765"/>
    </row>
    <row r="13766" spans="1:2">
      <c r="A13766" s="55"/>
      <c r="B13766"/>
    </row>
    <row r="13767" spans="1:2">
      <c r="A13767" s="55"/>
      <c r="B13767"/>
    </row>
    <row r="13768" spans="1:2">
      <c r="A13768" s="55"/>
      <c r="B13768"/>
    </row>
    <row r="13769" spans="1:2">
      <c r="A13769" s="55"/>
      <c r="B13769"/>
    </row>
    <row r="13770" spans="1:2">
      <c r="A13770" s="55"/>
      <c r="B13770"/>
    </row>
    <row r="13771" spans="1:2">
      <c r="A13771" s="55"/>
      <c r="B13771"/>
    </row>
    <row r="13772" spans="1:2">
      <c r="A13772" s="55"/>
      <c r="B13772"/>
    </row>
    <row r="13773" spans="1:2">
      <c r="A13773" s="55"/>
      <c r="B13773"/>
    </row>
    <row r="13774" spans="1:2">
      <c r="A13774" s="55"/>
      <c r="B13774"/>
    </row>
    <row r="13775" spans="1:2">
      <c r="A13775" s="55"/>
      <c r="B13775"/>
    </row>
    <row r="13776" spans="1:2">
      <c r="A13776" s="55"/>
      <c r="B13776"/>
    </row>
    <row r="13777" spans="1:2">
      <c r="A13777" s="55"/>
      <c r="B13777"/>
    </row>
    <row r="13778" spans="1:2">
      <c r="A13778" s="55"/>
      <c r="B13778"/>
    </row>
    <row r="13779" spans="1:2">
      <c r="A13779" s="55"/>
      <c r="B13779"/>
    </row>
    <row r="13780" spans="1:2">
      <c r="A13780" s="55"/>
      <c r="B13780"/>
    </row>
    <row r="13781" spans="1:2">
      <c r="A13781" s="55"/>
      <c r="B13781"/>
    </row>
    <row r="13782" spans="1:2">
      <c r="A13782" s="55"/>
      <c r="B13782"/>
    </row>
    <row r="13783" spans="1:2">
      <c r="A13783" s="55"/>
      <c r="B13783"/>
    </row>
    <row r="13784" spans="1:2">
      <c r="A13784" s="55"/>
      <c r="B13784"/>
    </row>
    <row r="13785" spans="1:2">
      <c r="A13785" s="55"/>
      <c r="B13785"/>
    </row>
    <row r="13786" spans="1:2">
      <c r="A13786" s="55"/>
      <c r="B13786"/>
    </row>
    <row r="13787" spans="1:2">
      <c r="A13787" s="55"/>
      <c r="B13787"/>
    </row>
    <row r="13788" spans="1:2">
      <c r="A13788" s="55"/>
      <c r="B13788"/>
    </row>
    <row r="13789" spans="1:2">
      <c r="A13789" s="55"/>
      <c r="B13789"/>
    </row>
    <row r="13790" spans="1:2">
      <c r="A13790" s="55"/>
      <c r="B13790"/>
    </row>
    <row r="13791" spans="1:2">
      <c r="A13791" s="55"/>
      <c r="B13791"/>
    </row>
    <row r="13792" spans="1:2">
      <c r="A13792" s="55"/>
      <c r="B13792"/>
    </row>
    <row r="13793" spans="1:2">
      <c r="A13793" s="55"/>
      <c r="B13793"/>
    </row>
    <row r="13794" spans="1:2">
      <c r="A13794" s="55"/>
      <c r="B13794"/>
    </row>
    <row r="13795" spans="1:2">
      <c r="A13795" s="55"/>
      <c r="B13795"/>
    </row>
    <row r="13796" spans="1:2">
      <c r="A13796" s="55"/>
      <c r="B13796"/>
    </row>
    <row r="13797" spans="1:2">
      <c r="A13797" s="55"/>
      <c r="B13797"/>
    </row>
    <row r="13798" spans="1:2">
      <c r="A13798" s="55"/>
      <c r="B13798"/>
    </row>
    <row r="13799" spans="1:2">
      <c r="A13799" s="55"/>
      <c r="B13799"/>
    </row>
    <row r="13800" spans="1:2">
      <c r="A13800" s="55"/>
      <c r="B13800"/>
    </row>
    <row r="13801" spans="1:2">
      <c r="A13801" s="55"/>
      <c r="B13801"/>
    </row>
    <row r="13802" spans="1:2">
      <c r="A13802" s="55"/>
      <c r="B13802"/>
    </row>
    <row r="13803" spans="1:2">
      <c r="A13803" s="55"/>
      <c r="B13803"/>
    </row>
    <row r="13804" spans="1:2">
      <c r="A13804" s="55"/>
      <c r="B13804"/>
    </row>
    <row r="13805" spans="1:2">
      <c r="A13805" s="55"/>
      <c r="B13805"/>
    </row>
    <row r="13806" spans="1:2">
      <c r="A13806" s="55"/>
      <c r="B13806"/>
    </row>
    <row r="13807" spans="1:2">
      <c r="A13807" s="55"/>
      <c r="B13807"/>
    </row>
    <row r="13808" spans="1:2">
      <c r="A13808" s="55"/>
      <c r="B13808"/>
    </row>
    <row r="13809" spans="1:2">
      <c r="A13809" s="55"/>
      <c r="B13809"/>
    </row>
    <row r="13810" spans="1:2">
      <c r="A13810" s="55"/>
      <c r="B13810"/>
    </row>
    <row r="13811" spans="1:2">
      <c r="A13811" s="55"/>
      <c r="B13811"/>
    </row>
    <row r="13812" spans="1:2">
      <c r="A13812" s="55"/>
      <c r="B13812"/>
    </row>
    <row r="13813" spans="1:2">
      <c r="A13813" s="55"/>
      <c r="B13813"/>
    </row>
    <row r="13814" spans="1:2">
      <c r="A13814" s="55"/>
      <c r="B13814"/>
    </row>
    <row r="13815" spans="1:2">
      <c r="A13815" s="55"/>
      <c r="B13815"/>
    </row>
    <row r="13816" spans="1:2">
      <c r="A13816" s="55"/>
      <c r="B13816"/>
    </row>
    <row r="13817" spans="1:2">
      <c r="A13817" s="55"/>
      <c r="B13817"/>
    </row>
    <row r="13818" spans="1:2">
      <c r="A13818" s="55"/>
      <c r="B13818"/>
    </row>
    <row r="13819" spans="1:2">
      <c r="A13819" s="55"/>
      <c r="B13819"/>
    </row>
    <row r="13820" spans="1:2">
      <c r="A13820" s="55"/>
      <c r="B13820"/>
    </row>
    <row r="13821" spans="1:2">
      <c r="A13821" s="55"/>
      <c r="B13821"/>
    </row>
    <row r="13822" spans="1:2">
      <c r="A13822" s="55"/>
      <c r="B13822"/>
    </row>
    <row r="13823" spans="1:2">
      <c r="A13823" s="55"/>
      <c r="B13823"/>
    </row>
    <row r="13824" spans="1:2">
      <c r="A13824" s="55"/>
      <c r="B13824"/>
    </row>
    <row r="13825" spans="1:2">
      <c r="A13825" s="55"/>
      <c r="B13825"/>
    </row>
    <row r="13826" spans="1:2">
      <c r="A13826" s="55"/>
      <c r="B13826"/>
    </row>
    <row r="13827" spans="1:2">
      <c r="A13827" s="55"/>
      <c r="B13827"/>
    </row>
    <row r="13828" spans="1:2">
      <c r="A13828" s="55"/>
      <c r="B13828"/>
    </row>
    <row r="13829" spans="1:2">
      <c r="A13829" s="55"/>
      <c r="B13829"/>
    </row>
    <row r="13830" spans="1:2">
      <c r="A13830" s="55"/>
      <c r="B13830"/>
    </row>
    <row r="13831" spans="1:2">
      <c r="A13831" s="55"/>
      <c r="B13831"/>
    </row>
    <row r="13832" spans="1:2">
      <c r="A13832" s="55"/>
      <c r="B13832"/>
    </row>
    <row r="13833" spans="1:2">
      <c r="A13833" s="55"/>
      <c r="B13833"/>
    </row>
    <row r="13834" spans="1:2">
      <c r="A13834" s="55"/>
      <c r="B13834"/>
    </row>
    <row r="13835" spans="1:2">
      <c r="A13835" s="55"/>
      <c r="B13835"/>
    </row>
    <row r="13836" spans="1:2">
      <c r="A13836" s="55"/>
      <c r="B13836"/>
    </row>
    <row r="13837" spans="1:2">
      <c r="A13837" s="55"/>
      <c r="B13837"/>
    </row>
    <row r="13838" spans="1:2">
      <c r="A13838" s="55"/>
      <c r="B13838"/>
    </row>
    <row r="13839" spans="1:2">
      <c r="A13839" s="55"/>
      <c r="B13839"/>
    </row>
    <row r="13840" spans="1:2">
      <c r="A13840" s="55"/>
      <c r="B13840"/>
    </row>
    <row r="13841" spans="1:2">
      <c r="A13841" s="55"/>
      <c r="B13841"/>
    </row>
    <row r="13842" spans="1:2">
      <c r="A13842" s="55"/>
      <c r="B13842"/>
    </row>
    <row r="13843" spans="1:2">
      <c r="A13843" s="55"/>
      <c r="B13843"/>
    </row>
    <row r="13844" spans="1:2">
      <c r="A13844" s="55"/>
      <c r="B13844"/>
    </row>
    <row r="13845" spans="1:2">
      <c r="A13845" s="55"/>
      <c r="B13845"/>
    </row>
    <row r="13846" spans="1:2">
      <c r="A13846" s="55"/>
      <c r="B13846"/>
    </row>
    <row r="13847" spans="1:2">
      <c r="A13847" s="55"/>
      <c r="B13847"/>
    </row>
    <row r="13848" spans="1:2">
      <c r="A13848" s="55"/>
      <c r="B13848"/>
    </row>
    <row r="13849" spans="1:2">
      <c r="A13849" s="55"/>
      <c r="B13849"/>
    </row>
    <row r="13850" spans="1:2">
      <c r="A13850" s="55"/>
      <c r="B13850"/>
    </row>
    <row r="13851" spans="1:2">
      <c r="A13851" s="55"/>
      <c r="B13851"/>
    </row>
    <row r="13852" spans="1:2">
      <c r="A13852" s="55"/>
      <c r="B13852"/>
    </row>
    <row r="13853" spans="1:2">
      <c r="A13853" s="55"/>
      <c r="B13853"/>
    </row>
    <row r="13854" spans="1:2">
      <c r="A13854" s="55"/>
      <c r="B13854"/>
    </row>
    <row r="13855" spans="1:2">
      <c r="A13855" s="55"/>
      <c r="B13855"/>
    </row>
    <row r="13856" spans="1:2">
      <c r="A13856" s="55"/>
      <c r="B13856"/>
    </row>
    <row r="13857" spans="1:2">
      <c r="A13857" s="55"/>
      <c r="B13857"/>
    </row>
    <row r="13858" spans="1:2">
      <c r="A13858" s="55"/>
      <c r="B13858"/>
    </row>
    <row r="13859" spans="1:2">
      <c r="A13859" s="55"/>
      <c r="B13859"/>
    </row>
    <row r="13860" spans="1:2">
      <c r="A13860" s="55"/>
      <c r="B13860"/>
    </row>
    <row r="13861" spans="1:2">
      <c r="A13861" s="55"/>
      <c r="B13861"/>
    </row>
    <row r="13862" spans="1:2">
      <c r="A13862" s="55"/>
      <c r="B13862"/>
    </row>
    <row r="13863" spans="1:2">
      <c r="A13863" s="55"/>
      <c r="B13863"/>
    </row>
    <row r="13864" spans="1:2">
      <c r="A13864" s="55"/>
      <c r="B13864"/>
    </row>
    <row r="13865" spans="1:2">
      <c r="A13865" s="55"/>
      <c r="B13865"/>
    </row>
    <row r="13866" spans="1:2">
      <c r="A13866" s="55"/>
      <c r="B13866"/>
    </row>
    <row r="13867" spans="1:2">
      <c r="A13867" s="55"/>
      <c r="B13867"/>
    </row>
    <row r="13868" spans="1:2">
      <c r="A13868" s="55"/>
      <c r="B13868"/>
    </row>
    <row r="13869" spans="1:2">
      <c r="A13869" s="55"/>
      <c r="B13869"/>
    </row>
    <row r="13870" spans="1:2">
      <c r="A13870" s="55"/>
      <c r="B13870"/>
    </row>
    <row r="13871" spans="1:2">
      <c r="A13871" s="55"/>
      <c r="B13871"/>
    </row>
    <row r="13872" spans="1:2">
      <c r="A13872" s="55"/>
      <c r="B13872"/>
    </row>
    <row r="13873" spans="1:2">
      <c r="A13873" s="55"/>
      <c r="B13873"/>
    </row>
    <row r="13874" spans="1:2">
      <c r="A13874" s="55"/>
      <c r="B13874"/>
    </row>
    <row r="13875" spans="1:2">
      <c r="A13875" s="55"/>
      <c r="B13875"/>
    </row>
    <row r="13876" spans="1:2">
      <c r="A13876" s="55"/>
      <c r="B13876"/>
    </row>
    <row r="13877" spans="1:2">
      <c r="A13877" s="55"/>
      <c r="B13877"/>
    </row>
    <row r="13878" spans="1:2">
      <c r="A13878" s="55"/>
      <c r="B13878"/>
    </row>
    <row r="13879" spans="1:2">
      <c r="A13879" s="55"/>
      <c r="B13879"/>
    </row>
    <row r="13880" spans="1:2">
      <c r="A13880" s="55"/>
      <c r="B13880"/>
    </row>
    <row r="13881" spans="1:2">
      <c r="A13881" s="55"/>
      <c r="B13881"/>
    </row>
    <row r="13882" spans="1:2">
      <c r="A13882" s="55"/>
      <c r="B13882"/>
    </row>
    <row r="13883" spans="1:2">
      <c r="A13883" s="55"/>
      <c r="B13883"/>
    </row>
    <row r="13884" spans="1:2">
      <c r="A13884" s="55"/>
      <c r="B13884"/>
    </row>
    <row r="13885" spans="1:2">
      <c r="A13885" s="55"/>
      <c r="B13885"/>
    </row>
    <row r="13886" spans="1:2">
      <c r="A13886" s="55"/>
      <c r="B13886"/>
    </row>
    <row r="13887" spans="1:2">
      <c r="A13887" s="55"/>
      <c r="B13887"/>
    </row>
    <row r="13888" spans="1:2">
      <c r="A13888" s="55"/>
      <c r="B13888"/>
    </row>
    <row r="13889" spans="1:2">
      <c r="A13889" s="55"/>
      <c r="B13889"/>
    </row>
    <row r="13890" spans="1:2">
      <c r="A13890" s="55"/>
      <c r="B13890"/>
    </row>
    <row r="13891" spans="1:2">
      <c r="A13891" s="55"/>
      <c r="B13891"/>
    </row>
    <row r="13892" spans="1:2">
      <c r="A13892" s="55"/>
      <c r="B13892"/>
    </row>
    <row r="13893" spans="1:2">
      <c r="A13893" s="55"/>
      <c r="B13893"/>
    </row>
    <row r="13894" spans="1:2">
      <c r="A13894" s="55"/>
      <c r="B13894"/>
    </row>
    <row r="13895" spans="1:2">
      <c r="A13895" s="55"/>
      <c r="B13895"/>
    </row>
    <row r="13896" spans="1:2">
      <c r="A13896" s="55"/>
      <c r="B13896"/>
    </row>
    <row r="13897" spans="1:2">
      <c r="A13897" s="55"/>
      <c r="B13897"/>
    </row>
    <row r="13898" spans="1:2">
      <c r="A13898" s="55"/>
      <c r="B13898"/>
    </row>
    <row r="13899" spans="1:2">
      <c r="A13899" s="55"/>
      <c r="B13899"/>
    </row>
    <row r="13900" spans="1:2">
      <c r="A13900" s="55"/>
      <c r="B13900"/>
    </row>
    <row r="13901" spans="1:2">
      <c r="A13901" s="55"/>
      <c r="B13901"/>
    </row>
    <row r="13902" spans="1:2">
      <c r="A13902" s="55"/>
      <c r="B13902"/>
    </row>
    <row r="13903" spans="1:2">
      <c r="A13903" s="55"/>
      <c r="B13903"/>
    </row>
    <row r="13904" spans="1:2">
      <c r="A13904" s="55"/>
      <c r="B13904"/>
    </row>
    <row r="13905" spans="1:2">
      <c r="A13905" s="55"/>
      <c r="B13905"/>
    </row>
    <row r="13906" spans="1:2">
      <c r="A13906" s="55"/>
      <c r="B13906"/>
    </row>
    <row r="13907" spans="1:2">
      <c r="A13907" s="55"/>
      <c r="B13907"/>
    </row>
    <row r="13908" spans="1:2">
      <c r="A13908" s="55"/>
      <c r="B13908"/>
    </row>
    <row r="13909" spans="1:2">
      <c r="A13909" s="55"/>
      <c r="B13909"/>
    </row>
    <row r="13910" spans="1:2">
      <c r="A13910" s="55"/>
      <c r="B13910"/>
    </row>
    <row r="13911" spans="1:2">
      <c r="A13911" s="55"/>
      <c r="B13911"/>
    </row>
    <row r="13912" spans="1:2">
      <c r="A13912" s="55"/>
      <c r="B13912"/>
    </row>
    <row r="13913" spans="1:2">
      <c r="A13913" s="55"/>
      <c r="B13913"/>
    </row>
    <row r="13914" spans="1:2">
      <c r="A13914" s="55"/>
      <c r="B13914"/>
    </row>
    <row r="13915" spans="1:2">
      <c r="A13915" s="55"/>
      <c r="B13915"/>
    </row>
    <row r="13916" spans="1:2">
      <c r="A13916" s="55"/>
      <c r="B13916"/>
    </row>
    <row r="13917" spans="1:2">
      <c r="A13917" s="55"/>
      <c r="B13917"/>
    </row>
    <row r="13918" spans="1:2">
      <c r="A13918" s="55"/>
      <c r="B13918"/>
    </row>
    <row r="13919" spans="1:2">
      <c r="A13919" s="55"/>
      <c r="B13919"/>
    </row>
    <row r="13920" spans="1:2">
      <c r="A13920" s="55"/>
      <c r="B13920"/>
    </row>
    <row r="13921" spans="1:2">
      <c r="A13921" s="55"/>
      <c r="B13921"/>
    </row>
    <row r="13922" spans="1:2">
      <c r="A13922" s="55"/>
      <c r="B13922"/>
    </row>
    <row r="13923" spans="1:2">
      <c r="A13923" s="55"/>
      <c r="B13923"/>
    </row>
    <row r="13924" spans="1:2">
      <c r="A13924" s="55"/>
      <c r="B13924"/>
    </row>
    <row r="13925" spans="1:2">
      <c r="A13925" s="55"/>
      <c r="B13925"/>
    </row>
    <row r="13926" spans="1:2">
      <c r="A13926" s="55"/>
      <c r="B13926"/>
    </row>
    <row r="13927" spans="1:2">
      <c r="A13927" s="55"/>
      <c r="B13927"/>
    </row>
    <row r="13928" spans="1:2">
      <c r="A13928" s="55"/>
      <c r="B13928"/>
    </row>
    <row r="13929" spans="1:2">
      <c r="A13929" s="55"/>
      <c r="B13929"/>
    </row>
    <row r="13930" spans="1:2">
      <c r="A13930" s="55"/>
      <c r="B13930"/>
    </row>
    <row r="13931" spans="1:2">
      <c r="A13931" s="55"/>
      <c r="B13931"/>
    </row>
    <row r="13932" spans="1:2">
      <c r="A13932" s="55"/>
      <c r="B13932"/>
    </row>
    <row r="13933" spans="1:2">
      <c r="A13933" s="55"/>
      <c r="B13933"/>
    </row>
    <row r="13934" spans="1:2">
      <c r="A13934" s="55"/>
      <c r="B13934"/>
    </row>
    <row r="13935" spans="1:2">
      <c r="A13935" s="55"/>
      <c r="B13935"/>
    </row>
    <row r="13936" spans="1:2">
      <c r="A13936" s="55"/>
      <c r="B13936"/>
    </row>
    <row r="13937" spans="1:2">
      <c r="A13937" s="55"/>
      <c r="B13937"/>
    </row>
    <row r="13938" spans="1:2">
      <c r="A13938" s="55"/>
      <c r="B13938"/>
    </row>
    <row r="13939" spans="1:2">
      <c r="A13939" s="55"/>
      <c r="B13939"/>
    </row>
    <row r="13940" spans="1:2">
      <c r="A13940" s="55"/>
      <c r="B13940"/>
    </row>
    <row r="13941" spans="1:2">
      <c r="A13941" s="55"/>
      <c r="B13941"/>
    </row>
    <row r="13942" spans="1:2">
      <c r="A13942" s="55"/>
      <c r="B13942"/>
    </row>
    <row r="13943" spans="1:2">
      <c r="A13943" s="55"/>
      <c r="B13943"/>
    </row>
    <row r="13944" spans="1:2">
      <c r="A13944" s="55"/>
      <c r="B13944"/>
    </row>
    <row r="13945" spans="1:2">
      <c r="A13945" s="55"/>
      <c r="B13945"/>
    </row>
    <row r="13946" spans="1:2">
      <c r="A13946" s="55"/>
      <c r="B13946"/>
    </row>
    <row r="13947" spans="1:2">
      <c r="A13947" s="55"/>
      <c r="B13947"/>
    </row>
    <row r="13948" spans="1:2">
      <c r="A13948" s="55"/>
      <c r="B13948"/>
    </row>
    <row r="13949" spans="1:2">
      <c r="A13949" s="55"/>
      <c r="B13949"/>
    </row>
    <row r="13950" spans="1:2">
      <c r="A13950" s="55"/>
      <c r="B13950"/>
    </row>
    <row r="13951" spans="1:2">
      <c r="A13951" s="55"/>
      <c r="B13951"/>
    </row>
    <row r="13952" spans="1:2">
      <c r="A13952" s="55"/>
      <c r="B13952"/>
    </row>
    <row r="13953" spans="1:2">
      <c r="A13953" s="55"/>
      <c r="B13953"/>
    </row>
    <row r="13954" spans="1:2">
      <c r="A13954" s="55"/>
      <c r="B13954"/>
    </row>
    <row r="13955" spans="1:2">
      <c r="A13955" s="55"/>
      <c r="B13955"/>
    </row>
    <row r="13956" spans="1:2">
      <c r="A13956" s="55"/>
      <c r="B13956"/>
    </row>
    <row r="13957" spans="1:2">
      <c r="A13957" s="55"/>
      <c r="B13957"/>
    </row>
    <row r="13958" spans="1:2">
      <c r="A13958" s="55"/>
      <c r="B13958"/>
    </row>
    <row r="13959" spans="1:2">
      <c r="A13959" s="55"/>
      <c r="B13959"/>
    </row>
    <row r="13960" spans="1:2">
      <c r="A13960" s="55"/>
      <c r="B13960"/>
    </row>
    <row r="13961" spans="1:2">
      <c r="A13961" s="55"/>
      <c r="B13961"/>
    </row>
    <row r="13962" spans="1:2">
      <c r="A13962" s="55"/>
      <c r="B13962"/>
    </row>
    <row r="13963" spans="1:2">
      <c r="A13963" s="55"/>
      <c r="B13963"/>
    </row>
    <row r="13964" spans="1:2">
      <c r="A13964" s="55"/>
      <c r="B13964"/>
    </row>
    <row r="13965" spans="1:2">
      <c r="A13965" s="55"/>
      <c r="B13965"/>
    </row>
    <row r="13966" spans="1:2">
      <c r="A13966" s="55"/>
      <c r="B13966"/>
    </row>
    <row r="13967" spans="1:2">
      <c r="A13967" s="55"/>
      <c r="B13967"/>
    </row>
    <row r="13968" spans="1:2">
      <c r="A13968" s="55"/>
      <c r="B13968"/>
    </row>
    <row r="13969" spans="1:2">
      <c r="A13969" s="55"/>
      <c r="B13969"/>
    </row>
    <row r="13970" spans="1:2">
      <c r="A13970" s="55"/>
      <c r="B13970"/>
    </row>
    <row r="13971" spans="1:2">
      <c r="A13971" s="55"/>
      <c r="B13971"/>
    </row>
    <row r="13972" spans="1:2">
      <c r="A13972" s="55"/>
      <c r="B13972"/>
    </row>
    <row r="13973" spans="1:2">
      <c r="A13973" s="55"/>
      <c r="B13973"/>
    </row>
    <row r="13974" spans="1:2">
      <c r="A13974" s="55"/>
      <c r="B13974"/>
    </row>
    <row r="13975" spans="1:2">
      <c r="A13975" s="55"/>
      <c r="B13975"/>
    </row>
    <row r="13976" spans="1:2">
      <c r="A13976" s="55"/>
      <c r="B13976"/>
    </row>
    <row r="13977" spans="1:2">
      <c r="A13977" s="55"/>
      <c r="B13977"/>
    </row>
    <row r="13978" spans="1:2">
      <c r="A13978" s="55"/>
      <c r="B13978"/>
    </row>
    <row r="13979" spans="1:2">
      <c r="A13979" s="55"/>
      <c r="B13979"/>
    </row>
    <row r="13980" spans="1:2">
      <c r="A13980" s="55"/>
      <c r="B13980"/>
    </row>
    <row r="13981" spans="1:2">
      <c r="A13981" s="55"/>
      <c r="B13981"/>
    </row>
    <row r="13982" spans="1:2">
      <c r="A13982" s="55"/>
      <c r="B13982"/>
    </row>
    <row r="13983" spans="1:2">
      <c r="A13983" s="55"/>
      <c r="B13983"/>
    </row>
    <row r="13984" spans="1:2">
      <c r="A13984" s="55"/>
      <c r="B13984"/>
    </row>
    <row r="13985" spans="1:2">
      <c r="A13985" s="55"/>
      <c r="B13985"/>
    </row>
    <row r="13986" spans="1:2">
      <c r="A13986" s="55"/>
      <c r="B13986"/>
    </row>
    <row r="13987" spans="1:2">
      <c r="A13987" s="55"/>
      <c r="B13987"/>
    </row>
    <row r="13988" spans="1:2">
      <c r="A13988" s="55"/>
      <c r="B13988"/>
    </row>
    <row r="13989" spans="1:2">
      <c r="A13989" s="55"/>
      <c r="B13989"/>
    </row>
    <row r="13990" spans="1:2">
      <c r="A13990" s="55"/>
      <c r="B13990"/>
    </row>
    <row r="13991" spans="1:2">
      <c r="A13991" s="55"/>
      <c r="B13991"/>
    </row>
    <row r="13992" spans="1:2">
      <c r="A13992" s="55"/>
      <c r="B13992"/>
    </row>
    <row r="13993" spans="1:2">
      <c r="A13993" s="55"/>
      <c r="B13993"/>
    </row>
    <row r="13994" spans="1:2">
      <c r="A13994" s="55"/>
      <c r="B13994"/>
    </row>
    <row r="13995" spans="1:2">
      <c r="A13995" s="55"/>
      <c r="B13995"/>
    </row>
    <row r="13996" spans="1:2">
      <c r="A13996" s="55"/>
      <c r="B13996"/>
    </row>
    <row r="13997" spans="1:2">
      <c r="A13997" s="55"/>
      <c r="B13997"/>
    </row>
    <row r="13998" spans="1:2">
      <c r="A13998" s="55"/>
      <c r="B13998"/>
    </row>
    <row r="13999" spans="1:2">
      <c r="A13999" s="55"/>
      <c r="B13999"/>
    </row>
    <row r="14000" spans="1:2">
      <c r="A14000" s="55"/>
      <c r="B14000"/>
    </row>
    <row r="14001" spans="1:2">
      <c r="A14001" s="55"/>
      <c r="B14001"/>
    </row>
    <row r="14002" spans="1:2">
      <c r="A14002" s="55"/>
      <c r="B14002"/>
    </row>
    <row r="14003" spans="1:2">
      <c r="A14003" s="55"/>
      <c r="B14003"/>
    </row>
    <row r="14004" spans="1:2">
      <c r="A14004" s="55"/>
      <c r="B14004"/>
    </row>
    <row r="14005" spans="1:2">
      <c r="A14005" s="55"/>
      <c r="B14005"/>
    </row>
    <row r="14006" spans="1:2">
      <c r="A14006" s="55"/>
      <c r="B14006"/>
    </row>
    <row r="14007" spans="1:2">
      <c r="A14007" s="55"/>
      <c r="B14007"/>
    </row>
    <row r="14008" spans="1:2">
      <c r="A14008" s="55"/>
      <c r="B14008"/>
    </row>
    <row r="14009" spans="1:2">
      <c r="A14009" s="55"/>
      <c r="B14009"/>
    </row>
    <row r="14010" spans="1:2">
      <c r="A14010" s="55"/>
      <c r="B14010"/>
    </row>
    <row r="14011" spans="1:2">
      <c r="A14011" s="55"/>
      <c r="B14011"/>
    </row>
    <row r="14012" spans="1:2">
      <c r="A14012" s="55"/>
      <c r="B14012"/>
    </row>
    <row r="14013" spans="1:2">
      <c r="A14013" s="55"/>
      <c r="B14013"/>
    </row>
    <row r="14014" spans="1:2">
      <c r="A14014" s="55"/>
      <c r="B14014"/>
    </row>
    <row r="14015" spans="1:2">
      <c r="A14015" s="55"/>
      <c r="B14015"/>
    </row>
    <row r="14016" spans="1:2">
      <c r="A14016" s="55"/>
      <c r="B14016"/>
    </row>
    <row r="14017" spans="1:2">
      <c r="A14017" s="55"/>
      <c r="B14017"/>
    </row>
    <row r="14018" spans="1:2">
      <c r="A14018" s="55"/>
      <c r="B14018"/>
    </row>
    <row r="14019" spans="1:2">
      <c r="A14019" s="55"/>
      <c r="B14019"/>
    </row>
    <row r="14020" spans="1:2">
      <c r="A14020" s="55"/>
      <c r="B14020"/>
    </row>
    <row r="14021" spans="1:2">
      <c r="A14021" s="55"/>
      <c r="B14021"/>
    </row>
    <row r="14022" spans="1:2">
      <c r="A14022" s="55"/>
      <c r="B14022"/>
    </row>
    <row r="14023" spans="1:2">
      <c r="A14023" s="55"/>
      <c r="B14023"/>
    </row>
    <row r="14024" spans="1:2">
      <c r="A14024" s="55"/>
      <c r="B14024"/>
    </row>
    <row r="14025" spans="1:2">
      <c r="A14025" s="55"/>
      <c r="B14025"/>
    </row>
    <row r="14026" spans="1:2">
      <c r="A14026" s="55"/>
      <c r="B14026"/>
    </row>
    <row r="14027" spans="1:2">
      <c r="A14027" s="55"/>
      <c r="B14027"/>
    </row>
    <row r="14028" spans="1:2">
      <c r="A14028" s="55"/>
      <c r="B14028"/>
    </row>
    <row r="14029" spans="1:2">
      <c r="A14029" s="55"/>
      <c r="B14029"/>
    </row>
    <row r="14030" spans="1:2">
      <c r="A14030" s="55"/>
      <c r="B14030"/>
    </row>
    <row r="14031" spans="1:2">
      <c r="A14031" s="55"/>
      <c r="B14031"/>
    </row>
    <row r="14032" spans="1:2">
      <c r="A14032" s="55"/>
      <c r="B14032"/>
    </row>
    <row r="14033" spans="1:2">
      <c r="A14033" s="55"/>
      <c r="B14033"/>
    </row>
    <row r="14034" spans="1:2">
      <c r="A14034" s="55"/>
      <c r="B14034"/>
    </row>
    <row r="14035" spans="1:2">
      <c r="A14035" s="55"/>
      <c r="B14035"/>
    </row>
    <row r="14036" spans="1:2">
      <c r="A14036" s="55"/>
      <c r="B14036"/>
    </row>
    <row r="14037" spans="1:2">
      <c r="A14037" s="55"/>
      <c r="B14037"/>
    </row>
    <row r="14038" spans="1:2">
      <c r="A14038" s="55"/>
      <c r="B14038"/>
    </row>
    <row r="14039" spans="1:2">
      <c r="A14039" s="55"/>
      <c r="B14039"/>
    </row>
    <row r="14040" spans="1:2">
      <c r="A14040" s="55"/>
      <c r="B14040"/>
    </row>
    <row r="14041" spans="1:2">
      <c r="A14041" s="55"/>
      <c r="B14041"/>
    </row>
    <row r="14042" spans="1:2">
      <c r="A14042" s="55"/>
      <c r="B14042"/>
    </row>
    <row r="14043" spans="1:2">
      <c r="A14043" s="55"/>
      <c r="B14043"/>
    </row>
    <row r="14044" spans="1:2">
      <c r="A14044" s="55"/>
      <c r="B14044"/>
    </row>
    <row r="14045" spans="1:2">
      <c r="A14045" s="55"/>
      <c r="B14045"/>
    </row>
    <row r="14046" spans="1:2">
      <c r="A14046" s="55"/>
      <c r="B14046"/>
    </row>
    <row r="14047" spans="1:2">
      <c r="A14047" s="55"/>
      <c r="B14047"/>
    </row>
    <row r="14048" spans="1:2">
      <c r="A14048" s="55"/>
      <c r="B14048"/>
    </row>
    <row r="14049" spans="1:2">
      <c r="A14049" s="55"/>
      <c r="B14049"/>
    </row>
    <row r="14050" spans="1:2">
      <c r="A14050" s="55"/>
      <c r="B14050"/>
    </row>
    <row r="14051" spans="1:2">
      <c r="A14051" s="55"/>
      <c r="B14051"/>
    </row>
    <row r="14052" spans="1:2">
      <c r="A14052" s="55"/>
      <c r="B14052"/>
    </row>
    <row r="14053" spans="1:2">
      <c r="A14053" s="55"/>
      <c r="B14053"/>
    </row>
    <row r="14054" spans="1:2">
      <c r="A14054" s="55"/>
      <c r="B14054"/>
    </row>
    <row r="14055" spans="1:2">
      <c r="A14055" s="55"/>
      <c r="B14055"/>
    </row>
    <row r="14056" spans="1:2">
      <c r="A14056" s="55"/>
      <c r="B14056"/>
    </row>
    <row r="14057" spans="1:2">
      <c r="A14057" s="55"/>
      <c r="B14057"/>
    </row>
    <row r="14058" spans="1:2">
      <c r="A14058" s="55"/>
      <c r="B14058"/>
    </row>
    <row r="14059" spans="1:2">
      <c r="A14059" s="55"/>
      <c r="B14059"/>
    </row>
    <row r="14060" spans="1:2">
      <c r="A14060" s="55"/>
      <c r="B14060"/>
    </row>
    <row r="14061" spans="1:2">
      <c r="A14061" s="55"/>
      <c r="B14061"/>
    </row>
    <row r="14062" spans="1:2">
      <c r="A14062" s="55"/>
      <c r="B14062"/>
    </row>
    <row r="14063" spans="1:2">
      <c r="A14063" s="55"/>
      <c r="B14063"/>
    </row>
    <row r="14064" spans="1:2">
      <c r="A14064" s="55"/>
      <c r="B14064"/>
    </row>
    <row r="14065" spans="1:2">
      <c r="A14065" s="55"/>
      <c r="B14065"/>
    </row>
    <row r="14066" spans="1:2">
      <c r="A14066" s="55"/>
      <c r="B14066"/>
    </row>
    <row r="14067" spans="1:2">
      <c r="A14067" s="55"/>
      <c r="B14067"/>
    </row>
    <row r="14068" spans="1:2">
      <c r="A14068" s="55"/>
      <c r="B14068"/>
    </row>
    <row r="14069" spans="1:2">
      <c r="A14069" s="55"/>
      <c r="B14069"/>
    </row>
    <row r="14070" spans="1:2">
      <c r="A14070" s="55"/>
      <c r="B14070"/>
    </row>
    <row r="14071" spans="1:2">
      <c r="A14071" s="55"/>
      <c r="B14071"/>
    </row>
    <row r="14072" spans="1:2">
      <c r="A14072" s="55"/>
      <c r="B14072"/>
    </row>
    <row r="14073" spans="1:2">
      <c r="A14073" s="55"/>
      <c r="B14073"/>
    </row>
    <row r="14074" spans="1:2">
      <c r="A14074" s="55"/>
      <c r="B14074"/>
    </row>
    <row r="14075" spans="1:2">
      <c r="A14075" s="55"/>
      <c r="B14075"/>
    </row>
    <row r="14076" spans="1:2">
      <c r="A14076" s="55"/>
      <c r="B14076"/>
    </row>
    <row r="14077" spans="1:2">
      <c r="A14077" s="55"/>
      <c r="B14077"/>
    </row>
    <row r="14078" spans="1:2">
      <c r="A14078" s="55"/>
      <c r="B14078"/>
    </row>
    <row r="14079" spans="1:2">
      <c r="A14079" s="55"/>
      <c r="B14079"/>
    </row>
    <row r="14080" spans="1:2">
      <c r="A14080" s="55"/>
      <c r="B14080"/>
    </row>
    <row r="14081" spans="1:2">
      <c r="A14081" s="55"/>
      <c r="B14081"/>
    </row>
    <row r="14082" spans="1:2">
      <c r="A14082" s="55"/>
      <c r="B14082"/>
    </row>
    <row r="14083" spans="1:2">
      <c r="A14083" s="55"/>
      <c r="B14083"/>
    </row>
    <row r="14084" spans="1:2">
      <c r="A14084" s="55"/>
      <c r="B14084"/>
    </row>
    <row r="14085" spans="1:2">
      <c r="A14085" s="55"/>
      <c r="B14085"/>
    </row>
    <row r="14086" spans="1:2">
      <c r="A14086" s="55"/>
      <c r="B14086"/>
    </row>
    <row r="14087" spans="1:2">
      <c r="A14087" s="55"/>
      <c r="B14087"/>
    </row>
    <row r="14088" spans="1:2">
      <c r="A14088" s="55"/>
      <c r="B14088"/>
    </row>
    <row r="14089" spans="1:2">
      <c r="A14089" s="55"/>
      <c r="B14089"/>
    </row>
    <row r="14090" spans="1:2">
      <c r="A14090" s="55"/>
      <c r="B14090"/>
    </row>
    <row r="14091" spans="1:2">
      <c r="A14091" s="55"/>
      <c r="B14091"/>
    </row>
    <row r="14092" spans="1:2">
      <c r="A14092" s="55"/>
      <c r="B14092"/>
    </row>
    <row r="14093" spans="1:2">
      <c r="A14093" s="55"/>
      <c r="B14093"/>
    </row>
    <row r="14094" spans="1:2">
      <c r="A14094" s="55"/>
      <c r="B14094"/>
    </row>
    <row r="14095" spans="1:2">
      <c r="A14095" s="55"/>
      <c r="B14095"/>
    </row>
    <row r="14096" spans="1:2">
      <c r="A14096" s="55"/>
      <c r="B14096"/>
    </row>
    <row r="14097" spans="1:2">
      <c r="A14097" s="55"/>
      <c r="B14097"/>
    </row>
    <row r="14098" spans="1:2">
      <c r="A14098" s="55"/>
      <c r="B14098"/>
    </row>
    <row r="14099" spans="1:2">
      <c r="A14099" s="55"/>
      <c r="B14099"/>
    </row>
    <row r="14100" spans="1:2">
      <c r="A14100" s="55"/>
      <c r="B14100"/>
    </row>
    <row r="14101" spans="1:2">
      <c r="A14101" s="55"/>
      <c r="B14101"/>
    </row>
    <row r="14102" spans="1:2">
      <c r="A14102" s="55"/>
      <c r="B14102"/>
    </row>
    <row r="14103" spans="1:2">
      <c r="A14103" s="55"/>
      <c r="B14103"/>
    </row>
    <row r="14104" spans="1:2">
      <c r="A14104" s="55"/>
      <c r="B14104"/>
    </row>
    <row r="14105" spans="1:2">
      <c r="A14105" s="55"/>
      <c r="B14105"/>
    </row>
    <row r="14106" spans="1:2">
      <c r="A14106" s="55"/>
      <c r="B14106"/>
    </row>
    <row r="14107" spans="1:2">
      <c r="A14107" s="55"/>
      <c r="B14107"/>
    </row>
    <row r="14108" spans="1:2">
      <c r="A14108" s="55"/>
      <c r="B14108"/>
    </row>
    <row r="14109" spans="1:2">
      <c r="A14109" s="55"/>
      <c r="B14109"/>
    </row>
    <row r="14110" spans="1:2">
      <c r="A14110" s="55"/>
      <c r="B14110"/>
    </row>
    <row r="14111" spans="1:2">
      <c r="A14111" s="55"/>
      <c r="B14111"/>
    </row>
    <row r="14112" spans="1:2">
      <c r="A14112" s="55"/>
      <c r="B14112"/>
    </row>
    <row r="14113" spans="1:2">
      <c r="A14113" s="55"/>
      <c r="B14113"/>
    </row>
    <row r="14114" spans="1:2">
      <c r="A14114" s="55"/>
      <c r="B14114"/>
    </row>
    <row r="14115" spans="1:2">
      <c r="A14115" s="55"/>
      <c r="B14115"/>
    </row>
    <row r="14116" spans="1:2">
      <c r="A14116" s="55"/>
      <c r="B14116"/>
    </row>
    <row r="14117" spans="1:2">
      <c r="A14117" s="55"/>
      <c r="B14117"/>
    </row>
    <row r="14118" spans="1:2">
      <c r="A14118" s="55"/>
      <c r="B14118"/>
    </row>
    <row r="14119" spans="1:2">
      <c r="A14119" s="55"/>
      <c r="B14119"/>
    </row>
    <row r="14120" spans="1:2">
      <c r="A14120" s="55"/>
      <c r="B14120"/>
    </row>
    <row r="14121" spans="1:2">
      <c r="A14121" s="55"/>
      <c r="B14121"/>
    </row>
    <row r="14122" spans="1:2">
      <c r="A14122" s="55"/>
      <c r="B14122"/>
    </row>
    <row r="14123" spans="1:2">
      <c r="A14123" s="55"/>
      <c r="B14123"/>
    </row>
    <row r="14124" spans="1:2">
      <c r="A14124" s="55"/>
      <c r="B14124"/>
    </row>
    <row r="14125" spans="1:2">
      <c r="A14125" s="55"/>
      <c r="B14125"/>
    </row>
    <row r="14126" spans="1:2">
      <c r="A14126" s="55"/>
      <c r="B14126"/>
    </row>
    <row r="14127" spans="1:2">
      <c r="A14127" s="55"/>
      <c r="B14127"/>
    </row>
    <row r="14128" spans="1:2">
      <c r="A14128" s="55"/>
      <c r="B14128"/>
    </row>
    <row r="14129" spans="1:2">
      <c r="A14129" s="55"/>
      <c r="B14129"/>
    </row>
    <row r="14130" spans="1:2">
      <c r="A14130" s="55"/>
      <c r="B14130"/>
    </row>
    <row r="14131" spans="1:2">
      <c r="A14131" s="55"/>
      <c r="B14131"/>
    </row>
    <row r="14132" spans="1:2">
      <c r="A14132" s="55"/>
      <c r="B14132"/>
    </row>
    <row r="14133" spans="1:2">
      <c r="A14133" s="55"/>
      <c r="B14133"/>
    </row>
    <row r="14134" spans="1:2">
      <c r="A14134" s="55"/>
      <c r="B14134"/>
    </row>
    <row r="14135" spans="1:2">
      <c r="A14135" s="55"/>
      <c r="B14135"/>
    </row>
    <row r="14136" spans="1:2">
      <c r="A14136" s="55"/>
      <c r="B14136"/>
    </row>
    <row r="14137" spans="1:2">
      <c r="A14137" s="55"/>
      <c r="B14137"/>
    </row>
    <row r="14138" spans="1:2">
      <c r="A14138" s="55"/>
      <c r="B14138"/>
    </row>
    <row r="14139" spans="1:2">
      <c r="A14139" s="55"/>
      <c r="B14139"/>
    </row>
    <row r="14140" spans="1:2">
      <c r="A14140" s="55"/>
      <c r="B14140"/>
    </row>
    <row r="14141" spans="1:2">
      <c r="A14141" s="55"/>
      <c r="B14141"/>
    </row>
    <row r="14142" spans="1:2">
      <c r="A14142" s="55"/>
      <c r="B14142"/>
    </row>
    <row r="14143" spans="1:2">
      <c r="A14143" s="55"/>
      <c r="B14143"/>
    </row>
    <row r="14144" spans="1:2">
      <c r="A14144" s="55"/>
      <c r="B14144"/>
    </row>
    <row r="14145" spans="1:2">
      <c r="A14145" s="55"/>
      <c r="B14145"/>
    </row>
    <row r="14146" spans="1:2">
      <c r="A14146" s="55"/>
      <c r="B14146"/>
    </row>
    <row r="14147" spans="1:2">
      <c r="A14147" s="55"/>
      <c r="B14147"/>
    </row>
    <row r="14148" spans="1:2">
      <c r="A14148" s="55"/>
      <c r="B14148"/>
    </row>
    <row r="14149" spans="1:2">
      <c r="A14149" s="55"/>
      <c r="B14149"/>
    </row>
    <row r="14150" spans="1:2">
      <c r="A14150" s="55"/>
      <c r="B14150"/>
    </row>
    <row r="14151" spans="1:2">
      <c r="A14151" s="55"/>
      <c r="B14151"/>
    </row>
    <row r="14152" spans="1:2">
      <c r="A14152" s="55"/>
      <c r="B14152"/>
    </row>
    <row r="14153" spans="1:2">
      <c r="A14153" s="55"/>
      <c r="B14153"/>
    </row>
    <row r="14154" spans="1:2">
      <c r="A14154" s="55"/>
      <c r="B14154"/>
    </row>
    <row r="14155" spans="1:2">
      <c r="A14155" s="55"/>
      <c r="B14155"/>
    </row>
    <row r="14156" spans="1:2">
      <c r="A14156" s="55"/>
      <c r="B14156"/>
    </row>
    <row r="14157" spans="1:2">
      <c r="A14157" s="55"/>
      <c r="B14157"/>
    </row>
    <row r="14158" spans="1:2">
      <c r="A14158" s="55"/>
      <c r="B14158"/>
    </row>
    <row r="14159" spans="1:2">
      <c r="A14159" s="55"/>
      <c r="B14159"/>
    </row>
    <row r="14160" spans="1:2">
      <c r="A14160" s="55"/>
      <c r="B14160"/>
    </row>
    <row r="14161" spans="1:2">
      <c r="A14161" s="55"/>
      <c r="B14161"/>
    </row>
    <row r="14162" spans="1:2">
      <c r="A14162" s="55"/>
      <c r="B14162"/>
    </row>
    <row r="14163" spans="1:2">
      <c r="A14163" s="55"/>
      <c r="B14163"/>
    </row>
    <row r="14164" spans="1:2">
      <c r="A14164" s="55"/>
      <c r="B14164"/>
    </row>
    <row r="14165" spans="1:2">
      <c r="A14165" s="55"/>
      <c r="B14165"/>
    </row>
    <row r="14166" spans="1:2">
      <c r="A14166" s="55"/>
      <c r="B14166"/>
    </row>
    <row r="14167" spans="1:2">
      <c r="A14167" s="55"/>
      <c r="B14167"/>
    </row>
    <row r="14168" spans="1:2">
      <c r="A14168" s="55"/>
      <c r="B14168"/>
    </row>
    <row r="14169" spans="1:2">
      <c r="A14169" s="55"/>
      <c r="B14169"/>
    </row>
    <row r="14170" spans="1:2">
      <c r="A14170" s="55"/>
      <c r="B14170"/>
    </row>
    <row r="14171" spans="1:2">
      <c r="A14171" s="55"/>
      <c r="B14171"/>
    </row>
    <row r="14172" spans="1:2">
      <c r="A14172" s="55"/>
      <c r="B14172"/>
    </row>
    <row r="14173" spans="1:2">
      <c r="A14173" s="55"/>
      <c r="B14173"/>
    </row>
    <row r="14174" spans="1:2">
      <c r="A14174" s="55"/>
      <c r="B14174"/>
    </row>
    <row r="14175" spans="1:2">
      <c r="A14175" s="55"/>
      <c r="B14175"/>
    </row>
    <row r="14176" spans="1:2">
      <c r="A14176" s="55"/>
      <c r="B14176"/>
    </row>
    <row r="14177" spans="1:2">
      <c r="A14177" s="55"/>
      <c r="B14177"/>
    </row>
    <row r="14178" spans="1:2">
      <c r="A14178" s="55"/>
      <c r="B14178"/>
    </row>
    <row r="14179" spans="1:2">
      <c r="A14179" s="55"/>
      <c r="B14179"/>
    </row>
    <row r="14180" spans="1:2">
      <c r="A14180" s="55"/>
      <c r="B14180"/>
    </row>
    <row r="14181" spans="1:2">
      <c r="A14181" s="55"/>
      <c r="B14181"/>
    </row>
    <row r="14182" spans="1:2">
      <c r="A14182" s="55"/>
      <c r="B14182"/>
    </row>
    <row r="14183" spans="1:2">
      <c r="A14183" s="55"/>
      <c r="B14183"/>
    </row>
    <row r="14184" spans="1:2">
      <c r="A14184" s="55"/>
      <c r="B14184"/>
    </row>
    <row r="14185" spans="1:2">
      <c r="A14185" s="55"/>
      <c r="B14185"/>
    </row>
    <row r="14186" spans="1:2">
      <c r="A14186" s="55"/>
      <c r="B14186"/>
    </row>
    <row r="14187" spans="1:2">
      <c r="A14187" s="55"/>
      <c r="B14187"/>
    </row>
    <row r="14188" spans="1:2">
      <c r="A14188" s="55"/>
      <c r="B14188"/>
    </row>
    <row r="14189" spans="1:2">
      <c r="A14189" s="55"/>
      <c r="B14189"/>
    </row>
    <row r="14190" spans="1:2">
      <c r="A14190" s="55"/>
      <c r="B14190"/>
    </row>
    <row r="14191" spans="1:2">
      <c r="A14191" s="55"/>
      <c r="B14191"/>
    </row>
    <row r="14192" spans="1:2">
      <c r="A14192" s="55"/>
      <c r="B14192"/>
    </row>
    <row r="14193" spans="1:2">
      <c r="A14193" s="55"/>
      <c r="B14193"/>
    </row>
    <row r="14194" spans="1:2">
      <c r="A14194" s="55"/>
      <c r="B14194"/>
    </row>
    <row r="14195" spans="1:2">
      <c r="A14195" s="55"/>
      <c r="B14195"/>
    </row>
    <row r="14196" spans="1:2">
      <c r="A14196" s="55"/>
      <c r="B14196"/>
    </row>
    <row r="14197" spans="1:2">
      <c r="A14197" s="55"/>
      <c r="B14197"/>
    </row>
    <row r="14198" spans="1:2">
      <c r="A14198" s="55"/>
      <c r="B14198"/>
    </row>
    <row r="14199" spans="1:2">
      <c r="A14199" s="55"/>
      <c r="B14199"/>
    </row>
    <row r="14200" spans="1:2">
      <c r="A14200" s="55"/>
      <c r="B14200"/>
    </row>
    <row r="14201" spans="1:2">
      <c r="A14201" s="55"/>
      <c r="B14201"/>
    </row>
    <row r="14202" spans="1:2">
      <c r="A14202" s="55"/>
      <c r="B14202"/>
    </row>
    <row r="14203" spans="1:2">
      <c r="A14203" s="55"/>
      <c r="B14203"/>
    </row>
    <row r="14204" spans="1:2">
      <c r="A14204" s="55"/>
      <c r="B14204"/>
    </row>
    <row r="14205" spans="1:2">
      <c r="A14205" s="55"/>
      <c r="B14205"/>
    </row>
    <row r="14206" spans="1:2">
      <c r="A14206" s="55"/>
      <c r="B14206"/>
    </row>
    <row r="14207" spans="1:2">
      <c r="A14207" s="55"/>
      <c r="B14207"/>
    </row>
    <row r="14208" spans="1:2">
      <c r="A14208" s="55"/>
      <c r="B14208"/>
    </row>
    <row r="14209" spans="1:2">
      <c r="A14209" s="55"/>
      <c r="B14209"/>
    </row>
    <row r="14210" spans="1:2">
      <c r="A14210" s="55"/>
      <c r="B14210"/>
    </row>
    <row r="14211" spans="1:2">
      <c r="A14211" s="55"/>
      <c r="B14211"/>
    </row>
    <row r="14212" spans="1:2">
      <c r="A14212" s="55"/>
      <c r="B14212"/>
    </row>
    <row r="14213" spans="1:2">
      <c r="A14213" s="55"/>
      <c r="B14213"/>
    </row>
    <row r="14214" spans="1:2">
      <c r="A14214" s="55"/>
      <c r="B14214"/>
    </row>
    <row r="14215" spans="1:2">
      <c r="A14215" s="55"/>
      <c r="B14215"/>
    </row>
    <row r="14216" spans="1:2">
      <c r="A14216" s="55"/>
      <c r="B14216"/>
    </row>
    <row r="14217" spans="1:2">
      <c r="A14217" s="55"/>
      <c r="B14217"/>
    </row>
    <row r="14218" spans="1:2">
      <c r="A14218" s="55"/>
      <c r="B14218"/>
    </row>
    <row r="14219" spans="1:2">
      <c r="A14219" s="55"/>
      <c r="B14219"/>
    </row>
    <row r="14220" spans="1:2">
      <c r="A14220" s="55"/>
      <c r="B14220"/>
    </row>
    <row r="14221" spans="1:2">
      <c r="A14221" s="55"/>
      <c r="B14221"/>
    </row>
    <row r="14222" spans="1:2">
      <c r="A14222" s="55"/>
      <c r="B14222"/>
    </row>
    <row r="14223" spans="1:2">
      <c r="A14223" s="55"/>
      <c r="B14223"/>
    </row>
    <row r="14224" spans="1:2">
      <c r="A14224" s="55"/>
      <c r="B14224"/>
    </row>
    <row r="14225" spans="1:2">
      <c r="A14225" s="55"/>
      <c r="B14225"/>
    </row>
    <row r="14226" spans="1:2">
      <c r="A14226" s="55"/>
      <c r="B14226"/>
    </row>
    <row r="14227" spans="1:2">
      <c r="A14227" s="55"/>
      <c r="B14227"/>
    </row>
    <row r="14228" spans="1:2">
      <c r="A14228" s="55"/>
      <c r="B14228"/>
    </row>
    <row r="14229" spans="1:2">
      <c r="A14229" s="55"/>
      <c r="B14229"/>
    </row>
    <row r="14230" spans="1:2">
      <c r="A14230" s="55"/>
      <c r="B14230"/>
    </row>
    <row r="14231" spans="1:2">
      <c r="A14231" s="55"/>
      <c r="B14231"/>
    </row>
    <row r="14232" spans="1:2">
      <c r="A14232" s="55"/>
      <c r="B14232"/>
    </row>
    <row r="14233" spans="1:2">
      <c r="A14233" s="55"/>
      <c r="B14233"/>
    </row>
    <row r="14234" spans="1:2">
      <c r="A14234" s="55"/>
      <c r="B14234"/>
    </row>
    <row r="14235" spans="1:2">
      <c r="A14235" s="55"/>
      <c r="B14235"/>
    </row>
    <row r="14236" spans="1:2">
      <c r="A14236" s="55"/>
      <c r="B14236"/>
    </row>
    <row r="14237" spans="1:2">
      <c r="A14237" s="55"/>
      <c r="B14237"/>
    </row>
    <row r="14238" spans="1:2">
      <c r="A14238" s="55"/>
      <c r="B14238"/>
    </row>
    <row r="14239" spans="1:2">
      <c r="A14239" s="55"/>
      <c r="B14239"/>
    </row>
    <row r="14240" spans="1:2">
      <c r="A14240" s="55"/>
      <c r="B14240"/>
    </row>
    <row r="14241" spans="1:2">
      <c r="A14241" s="55"/>
      <c r="B14241"/>
    </row>
    <row r="14242" spans="1:2">
      <c r="A14242" s="55"/>
      <c r="B14242"/>
    </row>
    <row r="14243" spans="1:2">
      <c r="A14243" s="55"/>
      <c r="B14243"/>
    </row>
    <row r="14244" spans="1:2">
      <c r="A14244" s="55"/>
      <c r="B14244"/>
    </row>
    <row r="14245" spans="1:2">
      <c r="A14245" s="55"/>
      <c r="B14245"/>
    </row>
    <row r="14246" spans="1:2">
      <c r="A14246" s="55"/>
      <c r="B14246"/>
    </row>
    <row r="14247" spans="1:2">
      <c r="A14247" s="55"/>
      <c r="B14247"/>
    </row>
    <row r="14248" spans="1:2">
      <c r="A14248" s="55"/>
      <c r="B14248"/>
    </row>
    <row r="14249" spans="1:2">
      <c r="A14249" s="55"/>
      <c r="B14249"/>
    </row>
    <row r="14250" spans="1:2">
      <c r="A14250" s="55"/>
      <c r="B14250"/>
    </row>
    <row r="14251" spans="1:2">
      <c r="A14251" s="55"/>
      <c r="B14251"/>
    </row>
    <row r="14252" spans="1:2">
      <c r="A14252" s="55"/>
      <c r="B14252"/>
    </row>
    <row r="14253" spans="1:2">
      <c r="A14253" s="55"/>
      <c r="B14253"/>
    </row>
    <row r="14254" spans="1:2">
      <c r="A14254" s="55"/>
      <c r="B14254"/>
    </row>
    <row r="14255" spans="1:2">
      <c r="A14255" s="55"/>
      <c r="B14255"/>
    </row>
    <row r="14256" spans="1:2">
      <c r="A14256" s="55"/>
      <c r="B14256"/>
    </row>
    <row r="14257" spans="1:2">
      <c r="A14257" s="55"/>
      <c r="B14257"/>
    </row>
    <row r="14258" spans="1:2">
      <c r="A14258" s="55"/>
      <c r="B14258"/>
    </row>
    <row r="14259" spans="1:2">
      <c r="A14259" s="55"/>
      <c r="B14259"/>
    </row>
    <row r="14260" spans="1:2">
      <c r="A14260" s="55"/>
      <c r="B14260"/>
    </row>
    <row r="14261" spans="1:2">
      <c r="A14261" s="55"/>
      <c r="B14261"/>
    </row>
    <row r="14262" spans="1:2">
      <c r="A14262" s="55"/>
      <c r="B14262"/>
    </row>
    <row r="14263" spans="1:2">
      <c r="A14263" s="55"/>
      <c r="B14263"/>
    </row>
    <row r="14264" spans="1:2">
      <c r="A14264" s="55"/>
      <c r="B14264"/>
    </row>
    <row r="14265" spans="1:2">
      <c r="A14265" s="55"/>
      <c r="B14265"/>
    </row>
    <row r="14266" spans="1:2">
      <c r="A14266" s="55"/>
      <c r="B14266"/>
    </row>
    <row r="14267" spans="1:2">
      <c r="A14267" s="55"/>
      <c r="B14267"/>
    </row>
    <row r="14268" spans="1:2">
      <c r="A14268" s="55"/>
      <c r="B14268"/>
    </row>
    <row r="14269" spans="1:2">
      <c r="A14269" s="55"/>
      <c r="B14269"/>
    </row>
    <row r="14270" spans="1:2">
      <c r="A14270" s="55"/>
      <c r="B14270"/>
    </row>
    <row r="14271" spans="1:2">
      <c r="A14271" s="55"/>
      <c r="B14271"/>
    </row>
    <row r="14272" spans="1:2">
      <c r="A14272" s="55"/>
      <c r="B14272"/>
    </row>
    <row r="14273" spans="1:2">
      <c r="A14273" s="55"/>
      <c r="B14273"/>
    </row>
    <row r="14274" spans="1:2">
      <c r="A14274" s="55"/>
      <c r="B14274"/>
    </row>
    <row r="14275" spans="1:2">
      <c r="A14275" s="55"/>
      <c r="B14275"/>
    </row>
    <row r="14276" spans="1:2">
      <c r="A14276" s="55"/>
      <c r="B14276"/>
    </row>
    <row r="14277" spans="1:2">
      <c r="A14277" s="55"/>
      <c r="B14277"/>
    </row>
    <row r="14278" spans="1:2">
      <c r="A14278" s="55"/>
      <c r="B14278"/>
    </row>
    <row r="14279" spans="1:2">
      <c r="A14279" s="55"/>
      <c r="B14279"/>
    </row>
    <row r="14280" spans="1:2">
      <c r="A14280" s="55"/>
      <c r="B14280"/>
    </row>
    <row r="14281" spans="1:2">
      <c r="A14281" s="55"/>
      <c r="B14281"/>
    </row>
    <row r="14282" spans="1:2">
      <c r="A14282" s="55"/>
      <c r="B14282"/>
    </row>
    <row r="14283" spans="1:2">
      <c r="A14283" s="55"/>
      <c r="B14283"/>
    </row>
    <row r="14284" spans="1:2">
      <c r="A14284" s="55"/>
      <c r="B14284"/>
    </row>
    <row r="14285" spans="1:2">
      <c r="A14285" s="55"/>
      <c r="B14285"/>
    </row>
    <row r="14286" spans="1:2">
      <c r="A14286" s="55"/>
      <c r="B14286"/>
    </row>
    <row r="14287" spans="1:2">
      <c r="A14287" s="55"/>
      <c r="B14287"/>
    </row>
    <row r="14288" spans="1:2">
      <c r="A14288" s="55"/>
      <c r="B14288"/>
    </row>
    <row r="14289" spans="1:2">
      <c r="A14289" s="55"/>
      <c r="B14289"/>
    </row>
    <row r="14290" spans="1:2">
      <c r="A14290" s="55"/>
      <c r="B14290"/>
    </row>
    <row r="14291" spans="1:2">
      <c r="A14291" s="55"/>
      <c r="B14291"/>
    </row>
    <row r="14292" spans="1:2">
      <c r="A14292" s="55"/>
      <c r="B14292"/>
    </row>
    <row r="14293" spans="1:2">
      <c r="A14293" s="55"/>
      <c r="B14293"/>
    </row>
    <row r="14294" spans="1:2">
      <c r="A14294" s="55"/>
      <c r="B14294"/>
    </row>
    <row r="14295" spans="1:2">
      <c r="A14295" s="55"/>
      <c r="B14295"/>
    </row>
    <row r="14296" spans="1:2">
      <c r="A14296" s="55"/>
      <c r="B14296"/>
    </row>
    <row r="14297" spans="1:2">
      <c r="A14297" s="55"/>
      <c r="B14297"/>
    </row>
    <row r="14298" spans="1:2">
      <c r="A14298" s="55"/>
      <c r="B14298"/>
    </row>
    <row r="14299" spans="1:2">
      <c r="A14299" s="55"/>
      <c r="B14299"/>
    </row>
    <row r="14300" spans="1:2">
      <c r="A14300" s="55"/>
      <c r="B14300"/>
    </row>
    <row r="14301" spans="1:2">
      <c r="A14301" s="55"/>
      <c r="B14301"/>
    </row>
    <row r="14302" spans="1:2">
      <c r="A14302" s="55"/>
      <c r="B14302"/>
    </row>
    <row r="14303" spans="1:2">
      <c r="A14303" s="55"/>
      <c r="B14303"/>
    </row>
    <row r="14304" spans="1:2">
      <c r="A14304" s="55"/>
      <c r="B14304"/>
    </row>
    <row r="14305" spans="1:2">
      <c r="A14305" s="55"/>
      <c r="B14305"/>
    </row>
    <row r="14306" spans="1:2">
      <c r="A14306" s="55"/>
      <c r="B14306"/>
    </row>
    <row r="14307" spans="1:2">
      <c r="A14307" s="55"/>
      <c r="B14307"/>
    </row>
    <row r="14308" spans="1:2">
      <c r="A14308" s="55"/>
      <c r="B14308"/>
    </row>
    <row r="14309" spans="1:2">
      <c r="A14309" s="55"/>
      <c r="B14309"/>
    </row>
    <row r="14310" spans="1:2">
      <c r="A14310" s="55"/>
      <c r="B14310"/>
    </row>
    <row r="14311" spans="1:2">
      <c r="A14311" s="55"/>
      <c r="B14311"/>
    </row>
    <row r="14312" spans="1:2">
      <c r="A14312" s="55"/>
      <c r="B14312"/>
    </row>
    <row r="14313" spans="1:2">
      <c r="A14313" s="55"/>
      <c r="B14313"/>
    </row>
    <row r="14314" spans="1:2">
      <c r="A14314" s="55"/>
      <c r="B14314"/>
    </row>
    <row r="14315" spans="1:2">
      <c r="A14315" s="55"/>
      <c r="B14315"/>
    </row>
    <row r="14316" spans="1:2">
      <c r="A14316" s="55"/>
      <c r="B14316"/>
    </row>
    <row r="14317" spans="1:2">
      <c r="A14317" s="55"/>
      <c r="B14317"/>
    </row>
    <row r="14318" spans="1:2">
      <c r="A14318" s="55"/>
      <c r="B14318"/>
    </row>
    <row r="14319" spans="1:2">
      <c r="A14319" s="55"/>
      <c r="B14319"/>
    </row>
    <row r="14320" spans="1:2">
      <c r="A14320" s="55"/>
      <c r="B14320"/>
    </row>
    <row r="14321" spans="1:2">
      <c r="A14321" s="55"/>
      <c r="B14321"/>
    </row>
    <row r="14322" spans="1:2">
      <c r="A14322" s="55"/>
      <c r="B14322"/>
    </row>
    <row r="14323" spans="1:2">
      <c r="A14323" s="55"/>
      <c r="B14323"/>
    </row>
    <row r="14324" spans="1:2">
      <c r="A14324" s="55"/>
      <c r="B14324"/>
    </row>
    <row r="14325" spans="1:2">
      <c r="A14325" s="55"/>
      <c r="B14325"/>
    </row>
    <row r="14326" spans="1:2">
      <c r="A14326" s="55"/>
      <c r="B14326"/>
    </row>
    <row r="14327" spans="1:2">
      <c r="A14327" s="55"/>
      <c r="B14327"/>
    </row>
    <row r="14328" spans="1:2">
      <c r="A14328" s="55"/>
      <c r="B14328"/>
    </row>
    <row r="14329" spans="1:2">
      <c r="A14329" s="55"/>
      <c r="B14329"/>
    </row>
    <row r="14330" spans="1:2">
      <c r="A14330" s="55"/>
      <c r="B14330"/>
    </row>
    <row r="14331" spans="1:2">
      <c r="A14331" s="55"/>
      <c r="B14331"/>
    </row>
    <row r="14332" spans="1:2">
      <c r="A14332" s="55"/>
      <c r="B14332"/>
    </row>
    <row r="14333" spans="1:2">
      <c r="A14333" s="55"/>
      <c r="B14333"/>
    </row>
    <row r="14334" spans="1:2">
      <c r="A14334" s="55"/>
      <c r="B14334"/>
    </row>
    <row r="14335" spans="1:2">
      <c r="A14335" s="55"/>
      <c r="B14335"/>
    </row>
    <row r="14336" spans="1:2">
      <c r="A14336" s="55"/>
      <c r="B14336"/>
    </row>
    <row r="14337" spans="1:2">
      <c r="A14337" s="55"/>
      <c r="B14337"/>
    </row>
    <row r="14338" spans="1:2">
      <c r="A14338" s="55"/>
      <c r="B14338"/>
    </row>
    <row r="14339" spans="1:2">
      <c r="A14339" s="55"/>
      <c r="B14339"/>
    </row>
    <row r="14340" spans="1:2">
      <c r="A14340" s="55"/>
      <c r="B14340"/>
    </row>
    <row r="14341" spans="1:2">
      <c r="A14341" s="55"/>
      <c r="B14341"/>
    </row>
    <row r="14342" spans="1:2">
      <c r="A14342" s="55"/>
      <c r="B14342"/>
    </row>
    <row r="14343" spans="1:2">
      <c r="A14343" s="55"/>
      <c r="B14343"/>
    </row>
    <row r="14344" spans="1:2">
      <c r="A14344" s="55"/>
      <c r="B14344"/>
    </row>
    <row r="14345" spans="1:2">
      <c r="A14345" s="55"/>
      <c r="B14345"/>
    </row>
    <row r="14346" spans="1:2">
      <c r="A14346" s="55"/>
      <c r="B14346"/>
    </row>
    <row r="14347" spans="1:2">
      <c r="A14347" s="55"/>
      <c r="B14347"/>
    </row>
    <row r="14348" spans="1:2">
      <c r="A14348" s="55"/>
      <c r="B14348"/>
    </row>
    <row r="14349" spans="1:2">
      <c r="A14349" s="55"/>
      <c r="B14349"/>
    </row>
    <row r="14350" spans="1:2">
      <c r="A14350" s="55"/>
      <c r="B14350"/>
    </row>
    <row r="14351" spans="1:2">
      <c r="A14351" s="55"/>
      <c r="B14351"/>
    </row>
    <row r="14352" spans="1:2">
      <c r="A14352" s="55"/>
      <c r="B14352"/>
    </row>
    <row r="14353" spans="1:2">
      <c r="A14353" s="55"/>
      <c r="B14353"/>
    </row>
    <row r="14354" spans="1:2">
      <c r="A14354" s="55"/>
      <c r="B14354"/>
    </row>
    <row r="14355" spans="1:2">
      <c r="A14355" s="55"/>
      <c r="B14355"/>
    </row>
    <row r="14356" spans="1:2">
      <c r="A14356" s="55"/>
      <c r="B14356"/>
    </row>
    <row r="14357" spans="1:2">
      <c r="A14357" s="55"/>
      <c r="B14357"/>
    </row>
    <row r="14358" spans="1:2">
      <c r="A14358" s="55"/>
      <c r="B14358"/>
    </row>
    <row r="14359" spans="1:2">
      <c r="A14359" s="55"/>
      <c r="B14359"/>
    </row>
    <row r="14360" spans="1:2">
      <c r="A14360" s="55"/>
      <c r="B14360"/>
    </row>
    <row r="14361" spans="1:2">
      <c r="A14361" s="55"/>
      <c r="B14361"/>
    </row>
    <row r="14362" spans="1:2">
      <c r="A14362" s="55"/>
      <c r="B14362"/>
    </row>
    <row r="14363" spans="1:2">
      <c r="A14363" s="55"/>
      <c r="B14363"/>
    </row>
    <row r="14364" spans="1:2">
      <c r="A14364" s="55"/>
      <c r="B14364"/>
    </row>
    <row r="14365" spans="1:2">
      <c r="A14365" s="55"/>
      <c r="B14365"/>
    </row>
    <row r="14366" spans="1:2">
      <c r="A14366" s="55"/>
      <c r="B14366"/>
    </row>
    <row r="14367" spans="1:2">
      <c r="A14367" s="55"/>
      <c r="B14367"/>
    </row>
    <row r="14368" spans="1:2">
      <c r="A14368" s="55"/>
      <c r="B14368"/>
    </row>
    <row r="14369" spans="1:2">
      <c r="A14369" s="55"/>
      <c r="B14369"/>
    </row>
    <row r="14370" spans="1:2">
      <c r="A14370" s="55"/>
      <c r="B14370"/>
    </row>
    <row r="14371" spans="1:2">
      <c r="A14371" s="55"/>
      <c r="B14371"/>
    </row>
    <row r="14372" spans="1:2">
      <c r="A14372" s="55"/>
      <c r="B14372"/>
    </row>
    <row r="14373" spans="1:2">
      <c r="A14373" s="55"/>
      <c r="B14373"/>
    </row>
    <row r="14374" spans="1:2">
      <c r="A14374" s="55"/>
      <c r="B14374"/>
    </row>
    <row r="14375" spans="1:2">
      <c r="A14375" s="55"/>
      <c r="B14375"/>
    </row>
    <row r="14376" spans="1:2">
      <c r="A14376" s="55"/>
      <c r="B14376"/>
    </row>
    <row r="14377" spans="1:2">
      <c r="A14377" s="55"/>
      <c r="B14377"/>
    </row>
    <row r="14378" spans="1:2">
      <c r="A14378" s="55"/>
      <c r="B14378"/>
    </row>
    <row r="14379" spans="1:2">
      <c r="A14379" s="55"/>
      <c r="B14379"/>
    </row>
    <row r="14380" spans="1:2">
      <c r="A14380" s="55"/>
      <c r="B14380"/>
    </row>
    <row r="14381" spans="1:2">
      <c r="A14381" s="55"/>
      <c r="B14381"/>
    </row>
    <row r="14382" spans="1:2">
      <c r="A14382" s="55"/>
      <c r="B14382"/>
    </row>
    <row r="14383" spans="1:2">
      <c r="A14383" s="55"/>
      <c r="B14383"/>
    </row>
    <row r="14384" spans="1:2">
      <c r="A14384" s="55"/>
      <c r="B14384"/>
    </row>
    <row r="14385" spans="1:2">
      <c r="A14385" s="55"/>
      <c r="B14385"/>
    </row>
    <row r="14386" spans="1:2">
      <c r="A14386" s="55"/>
      <c r="B14386"/>
    </row>
    <row r="14387" spans="1:2">
      <c r="A14387" s="55"/>
      <c r="B14387"/>
    </row>
    <row r="14388" spans="1:2">
      <c r="A14388" s="55"/>
      <c r="B14388"/>
    </row>
    <row r="14389" spans="1:2">
      <c r="A14389" s="55"/>
      <c r="B14389"/>
    </row>
    <row r="14390" spans="1:2">
      <c r="A14390" s="55"/>
      <c r="B14390"/>
    </row>
    <row r="14391" spans="1:2">
      <c r="A14391" s="55"/>
      <c r="B14391"/>
    </row>
    <row r="14392" spans="1:2">
      <c r="A14392" s="55"/>
      <c r="B14392"/>
    </row>
    <row r="14393" spans="1:2">
      <c r="A14393" s="55"/>
      <c r="B14393"/>
    </row>
    <row r="14394" spans="1:2">
      <c r="A14394" s="55"/>
      <c r="B14394"/>
    </row>
    <row r="14395" spans="1:2">
      <c r="A14395" s="55"/>
      <c r="B14395"/>
    </row>
    <row r="14396" spans="1:2">
      <c r="A14396" s="55"/>
      <c r="B14396"/>
    </row>
    <row r="14397" spans="1:2">
      <c r="A14397" s="55"/>
      <c r="B14397"/>
    </row>
    <row r="14398" spans="1:2">
      <c r="A14398" s="55"/>
      <c r="B14398"/>
    </row>
    <row r="14399" spans="1:2">
      <c r="A14399" s="55"/>
      <c r="B14399"/>
    </row>
    <row r="14400" spans="1:2">
      <c r="A14400" s="55"/>
      <c r="B14400"/>
    </row>
    <row r="14401" spans="1:2">
      <c r="A14401" s="55"/>
      <c r="B14401"/>
    </row>
    <row r="14402" spans="1:2">
      <c r="A14402" s="55"/>
      <c r="B14402"/>
    </row>
    <row r="14403" spans="1:2">
      <c r="A14403" s="55"/>
      <c r="B14403"/>
    </row>
    <row r="14404" spans="1:2">
      <c r="A14404" s="55"/>
      <c r="B14404"/>
    </row>
    <row r="14405" spans="1:2">
      <c r="A14405" s="55"/>
      <c r="B14405"/>
    </row>
    <row r="14406" spans="1:2">
      <c r="A14406" s="55"/>
      <c r="B14406"/>
    </row>
    <row r="14407" spans="1:2">
      <c r="A14407" s="55"/>
      <c r="B14407"/>
    </row>
    <row r="14408" spans="1:2">
      <c r="A14408" s="55"/>
      <c r="B14408"/>
    </row>
    <row r="14409" spans="1:2">
      <c r="A14409" s="55"/>
      <c r="B14409"/>
    </row>
    <row r="14410" spans="1:2">
      <c r="A14410" s="55"/>
      <c r="B14410"/>
    </row>
    <row r="14411" spans="1:2">
      <c r="A14411" s="55"/>
      <c r="B14411"/>
    </row>
    <row r="14412" spans="1:2">
      <c r="A14412" s="55"/>
      <c r="B14412"/>
    </row>
    <row r="14413" spans="1:2">
      <c r="A14413" s="55"/>
      <c r="B14413"/>
    </row>
    <row r="14414" spans="1:2">
      <c r="A14414" s="55"/>
      <c r="B14414"/>
    </row>
    <row r="14415" spans="1:2">
      <c r="A14415" s="55"/>
      <c r="B14415"/>
    </row>
    <row r="14416" spans="1:2">
      <c r="A14416" s="55"/>
      <c r="B14416"/>
    </row>
    <row r="14417" spans="1:2">
      <c r="A14417" s="55"/>
      <c r="B14417"/>
    </row>
    <row r="14418" spans="1:2">
      <c r="A14418" s="55"/>
      <c r="B14418"/>
    </row>
    <row r="14419" spans="1:2">
      <c r="A14419" s="55"/>
      <c r="B14419"/>
    </row>
    <row r="14420" spans="1:2">
      <c r="A14420" s="55"/>
      <c r="B14420"/>
    </row>
    <row r="14421" spans="1:2">
      <c r="A14421" s="55"/>
      <c r="B14421"/>
    </row>
    <row r="14422" spans="1:2">
      <c r="A14422" s="55"/>
      <c r="B14422"/>
    </row>
    <row r="14423" spans="1:2">
      <c r="A14423" s="55"/>
      <c r="B14423"/>
    </row>
    <row r="14424" spans="1:2">
      <c r="A14424" s="55"/>
      <c r="B14424"/>
    </row>
    <row r="14425" spans="1:2">
      <c r="A14425" s="55"/>
      <c r="B14425"/>
    </row>
    <row r="14426" spans="1:2">
      <c r="A14426" s="55"/>
      <c r="B14426"/>
    </row>
    <row r="14427" spans="1:2">
      <c r="A14427" s="55"/>
      <c r="B14427"/>
    </row>
    <row r="14428" spans="1:2">
      <c r="A14428" s="55"/>
      <c r="B14428"/>
    </row>
    <row r="14429" spans="1:2">
      <c r="A14429" s="55"/>
      <c r="B14429"/>
    </row>
    <row r="14430" spans="1:2">
      <c r="A14430" s="55"/>
      <c r="B14430"/>
    </row>
    <row r="14431" spans="1:2">
      <c r="A14431" s="55"/>
      <c r="B14431"/>
    </row>
    <row r="14432" spans="1:2">
      <c r="A14432" s="55"/>
      <c r="B14432"/>
    </row>
    <row r="14433" spans="1:2">
      <c r="A14433" s="55"/>
      <c r="B14433"/>
    </row>
    <row r="14434" spans="1:2">
      <c r="A14434" s="55"/>
      <c r="B14434"/>
    </row>
    <row r="14435" spans="1:2">
      <c r="A14435" s="55"/>
      <c r="B14435"/>
    </row>
    <row r="14436" spans="1:2">
      <c r="A14436" s="55"/>
      <c r="B14436"/>
    </row>
    <row r="14437" spans="1:2">
      <c r="A14437" s="55"/>
      <c r="B14437"/>
    </row>
    <row r="14438" spans="1:2">
      <c r="A14438" s="55"/>
      <c r="B14438"/>
    </row>
    <row r="14439" spans="1:2">
      <c r="A14439" s="55"/>
      <c r="B14439"/>
    </row>
    <row r="14440" spans="1:2">
      <c r="A14440" s="55"/>
      <c r="B14440"/>
    </row>
    <row r="14441" spans="1:2">
      <c r="A14441" s="55"/>
      <c r="B14441"/>
    </row>
    <row r="14442" spans="1:2">
      <c r="A14442" s="55"/>
      <c r="B14442"/>
    </row>
    <row r="14443" spans="1:2">
      <c r="A14443" s="55"/>
      <c r="B14443"/>
    </row>
    <row r="14444" spans="1:2">
      <c r="A14444" s="55"/>
      <c r="B14444"/>
    </row>
    <row r="14445" spans="1:2">
      <c r="A14445" s="55"/>
      <c r="B14445"/>
    </row>
    <row r="14446" spans="1:2">
      <c r="A14446" s="55"/>
      <c r="B14446"/>
    </row>
    <row r="14447" spans="1:2">
      <c r="A14447" s="55"/>
      <c r="B14447"/>
    </row>
    <row r="14448" spans="1:2">
      <c r="A14448" s="55"/>
      <c r="B14448"/>
    </row>
    <row r="14449" spans="1:2">
      <c r="A14449" s="55"/>
      <c r="B14449"/>
    </row>
    <row r="14450" spans="1:2">
      <c r="A14450" s="55"/>
      <c r="B14450"/>
    </row>
    <row r="14451" spans="1:2">
      <c r="A14451" s="55"/>
      <c r="B14451"/>
    </row>
    <row r="14452" spans="1:2">
      <c r="A14452" s="55"/>
      <c r="B14452"/>
    </row>
    <row r="14453" spans="1:2">
      <c r="A14453" s="55"/>
      <c r="B14453"/>
    </row>
    <row r="14454" spans="1:2">
      <c r="A14454" s="55"/>
      <c r="B14454"/>
    </row>
    <row r="14455" spans="1:2">
      <c r="A14455" s="55"/>
      <c r="B14455"/>
    </row>
    <row r="14456" spans="1:2">
      <c r="A14456" s="55"/>
      <c r="B14456"/>
    </row>
    <row r="14457" spans="1:2">
      <c r="A14457" s="55"/>
      <c r="B14457"/>
    </row>
    <row r="14458" spans="1:2">
      <c r="A14458" s="55"/>
      <c r="B14458"/>
    </row>
    <row r="14459" spans="1:2">
      <c r="A14459" s="55"/>
      <c r="B14459"/>
    </row>
    <row r="14460" spans="1:2">
      <c r="A14460" s="55"/>
      <c r="B14460"/>
    </row>
    <row r="14461" spans="1:2">
      <c r="A14461" s="55"/>
      <c r="B14461"/>
    </row>
    <row r="14462" spans="1:2">
      <c r="A14462" s="55"/>
      <c r="B14462"/>
    </row>
    <row r="14463" spans="1:2">
      <c r="A14463" s="55"/>
      <c r="B14463"/>
    </row>
    <row r="14464" spans="1:2">
      <c r="A14464" s="55"/>
      <c r="B14464"/>
    </row>
    <row r="14465" spans="1:2">
      <c r="A14465" s="55"/>
      <c r="B14465"/>
    </row>
    <row r="14466" spans="1:2">
      <c r="A14466" s="55"/>
      <c r="B14466"/>
    </row>
    <row r="14467" spans="1:2">
      <c r="A14467" s="55"/>
      <c r="B14467"/>
    </row>
    <row r="14468" spans="1:2">
      <c r="A14468" s="55"/>
      <c r="B14468"/>
    </row>
    <row r="14469" spans="1:2">
      <c r="A14469" s="55"/>
      <c r="B14469"/>
    </row>
    <row r="14470" spans="1:2">
      <c r="A14470" s="55"/>
      <c r="B14470"/>
    </row>
    <row r="14471" spans="1:2">
      <c r="A14471" s="55"/>
      <c r="B14471"/>
    </row>
    <row r="14472" spans="1:2">
      <c r="A14472" s="55"/>
      <c r="B14472"/>
    </row>
    <row r="14473" spans="1:2">
      <c r="A14473" s="55"/>
      <c r="B14473"/>
    </row>
    <row r="14474" spans="1:2">
      <c r="A14474" s="55"/>
      <c r="B14474"/>
    </row>
    <row r="14475" spans="1:2">
      <c r="A14475" s="55"/>
      <c r="B14475"/>
    </row>
    <row r="14476" spans="1:2">
      <c r="A14476" s="55"/>
      <c r="B14476"/>
    </row>
    <row r="14477" spans="1:2">
      <c r="A14477" s="55"/>
      <c r="B14477"/>
    </row>
    <row r="14478" spans="1:2">
      <c r="A14478" s="55"/>
      <c r="B14478"/>
    </row>
    <row r="14479" spans="1:2">
      <c r="A14479" s="55"/>
      <c r="B14479"/>
    </row>
    <row r="14480" spans="1:2">
      <c r="A14480" s="55"/>
      <c r="B14480"/>
    </row>
    <row r="14481" spans="1:2">
      <c r="A14481" s="55"/>
      <c r="B14481"/>
    </row>
    <row r="14482" spans="1:2">
      <c r="A14482" s="55"/>
      <c r="B14482"/>
    </row>
    <row r="14483" spans="1:2">
      <c r="A14483" s="55"/>
      <c r="B14483"/>
    </row>
    <row r="14484" spans="1:2">
      <c r="A14484" s="55"/>
      <c r="B14484"/>
    </row>
    <row r="14485" spans="1:2">
      <c r="A14485" s="55"/>
      <c r="B14485"/>
    </row>
    <row r="14486" spans="1:2">
      <c r="A14486" s="55"/>
      <c r="B14486"/>
    </row>
    <row r="14487" spans="1:2">
      <c r="A14487" s="55"/>
      <c r="B14487"/>
    </row>
    <row r="14488" spans="1:2">
      <c r="A14488" s="55"/>
      <c r="B14488"/>
    </row>
    <row r="14489" spans="1:2">
      <c r="A14489" s="55"/>
      <c r="B14489"/>
    </row>
    <row r="14490" spans="1:2">
      <c r="A14490" s="55"/>
      <c r="B14490"/>
    </row>
    <row r="14491" spans="1:2">
      <c r="A14491" s="55"/>
      <c r="B14491"/>
    </row>
    <row r="14492" spans="1:2">
      <c r="A14492" s="55"/>
      <c r="B14492"/>
    </row>
    <row r="14493" spans="1:2">
      <c r="A14493" s="55"/>
      <c r="B14493"/>
    </row>
    <row r="14494" spans="1:2">
      <c r="A14494" s="55"/>
      <c r="B14494"/>
    </row>
    <row r="14495" spans="1:2">
      <c r="A14495" s="55"/>
      <c r="B14495"/>
    </row>
    <row r="14496" spans="1:2">
      <c r="A14496" s="55"/>
      <c r="B14496"/>
    </row>
    <row r="14497" spans="1:2">
      <c r="A14497" s="55"/>
      <c r="B14497"/>
    </row>
    <row r="14498" spans="1:2">
      <c r="A14498" s="55"/>
      <c r="B14498"/>
    </row>
    <row r="14499" spans="1:2">
      <c r="A14499" s="55"/>
      <c r="B14499"/>
    </row>
    <row r="14500" spans="1:2">
      <c r="A14500" s="55"/>
      <c r="B14500"/>
    </row>
    <row r="14501" spans="1:2">
      <c r="A14501" s="55"/>
      <c r="B14501"/>
    </row>
    <row r="14502" spans="1:2">
      <c r="A14502" s="55"/>
      <c r="B14502"/>
    </row>
    <row r="14503" spans="1:2">
      <c r="A14503" s="55"/>
      <c r="B14503"/>
    </row>
    <row r="14504" spans="1:2">
      <c r="A14504" s="55"/>
      <c r="B14504"/>
    </row>
    <row r="14505" spans="1:2">
      <c r="A14505" s="55"/>
      <c r="B14505"/>
    </row>
    <row r="14506" spans="1:2">
      <c r="A14506" s="55"/>
      <c r="B14506"/>
    </row>
    <row r="14507" spans="1:2">
      <c r="A14507" s="55"/>
      <c r="B14507"/>
    </row>
    <row r="14508" spans="1:2">
      <c r="A14508" s="55"/>
      <c r="B14508"/>
    </row>
    <row r="14509" spans="1:2">
      <c r="A14509" s="55"/>
      <c r="B14509"/>
    </row>
    <row r="14510" spans="1:2">
      <c r="A14510" s="55"/>
      <c r="B14510"/>
    </row>
    <row r="14511" spans="1:2">
      <c r="A14511" s="55"/>
      <c r="B14511"/>
    </row>
    <row r="14512" spans="1:2">
      <c r="A14512" s="55"/>
      <c r="B14512"/>
    </row>
    <row r="14513" spans="1:2">
      <c r="A14513" s="55"/>
      <c r="B14513"/>
    </row>
    <row r="14514" spans="1:2">
      <c r="A14514" s="55"/>
      <c r="B14514"/>
    </row>
    <row r="14515" spans="1:2">
      <c r="A14515" s="55"/>
      <c r="B14515"/>
    </row>
    <row r="14516" spans="1:2">
      <c r="A14516" s="55"/>
      <c r="B14516"/>
    </row>
    <row r="14517" spans="1:2">
      <c r="A14517" s="55"/>
      <c r="B14517"/>
    </row>
    <row r="14518" spans="1:2">
      <c r="A14518" s="55"/>
      <c r="B14518"/>
    </row>
    <row r="14519" spans="1:2">
      <c r="A14519" s="55"/>
      <c r="B14519"/>
    </row>
    <row r="14520" spans="1:2">
      <c r="A14520" s="55"/>
      <c r="B14520"/>
    </row>
    <row r="14521" spans="1:2">
      <c r="A14521" s="55"/>
      <c r="B14521"/>
    </row>
    <row r="14522" spans="1:2">
      <c r="A14522" s="55"/>
      <c r="B14522"/>
    </row>
    <row r="14523" spans="1:2">
      <c r="A14523" s="55"/>
      <c r="B14523"/>
    </row>
    <row r="14524" spans="1:2">
      <c r="A14524" s="55"/>
      <c r="B14524"/>
    </row>
    <row r="14525" spans="1:2">
      <c r="A14525" s="55"/>
      <c r="B14525"/>
    </row>
    <row r="14526" spans="1:2">
      <c r="A14526" s="55"/>
      <c r="B14526"/>
    </row>
    <row r="14527" spans="1:2">
      <c r="A14527" s="55"/>
      <c r="B14527"/>
    </row>
    <row r="14528" spans="1:2">
      <c r="A14528" s="55"/>
      <c r="B14528"/>
    </row>
    <row r="14529" spans="1:2">
      <c r="A14529" s="55"/>
      <c r="B14529"/>
    </row>
    <row r="14530" spans="1:2">
      <c r="A14530" s="55"/>
      <c r="B14530"/>
    </row>
    <row r="14531" spans="1:2">
      <c r="A14531" s="55"/>
      <c r="B14531"/>
    </row>
    <row r="14532" spans="1:2">
      <c r="A14532" s="55"/>
      <c r="B14532"/>
    </row>
    <row r="14533" spans="1:2">
      <c r="A14533" s="55"/>
      <c r="B14533"/>
    </row>
    <row r="14534" spans="1:2">
      <c r="A14534" s="55"/>
      <c r="B14534"/>
    </row>
    <row r="14535" spans="1:2">
      <c r="A14535" s="55"/>
      <c r="B14535"/>
    </row>
    <row r="14536" spans="1:2">
      <c r="A14536" s="55"/>
      <c r="B14536"/>
    </row>
    <row r="14537" spans="1:2">
      <c r="A14537" s="55"/>
      <c r="B14537"/>
    </row>
    <row r="14538" spans="1:2">
      <c r="A14538" s="55"/>
      <c r="B14538"/>
    </row>
    <row r="14539" spans="1:2">
      <c r="A14539" s="55"/>
      <c r="B14539"/>
    </row>
    <row r="14540" spans="1:2">
      <c r="A14540" s="55"/>
      <c r="B14540"/>
    </row>
    <row r="14541" spans="1:2">
      <c r="A14541" s="55"/>
      <c r="B14541"/>
    </row>
    <row r="14542" spans="1:2">
      <c r="A14542" s="55"/>
      <c r="B14542"/>
    </row>
    <row r="14543" spans="1:2">
      <c r="A14543" s="55"/>
      <c r="B14543"/>
    </row>
    <row r="14544" spans="1:2">
      <c r="A14544" s="55"/>
      <c r="B14544"/>
    </row>
    <row r="14545" spans="1:2">
      <c r="A14545" s="55"/>
      <c r="B14545"/>
    </row>
    <row r="14546" spans="1:2">
      <c r="A14546" s="55"/>
      <c r="B14546"/>
    </row>
    <row r="14547" spans="1:2">
      <c r="A14547" s="55"/>
      <c r="B14547"/>
    </row>
    <row r="14548" spans="1:2">
      <c r="A14548" s="55"/>
      <c r="B14548"/>
    </row>
    <row r="14549" spans="1:2">
      <c r="A14549" s="55"/>
      <c r="B14549"/>
    </row>
    <row r="14550" spans="1:2">
      <c r="A14550" s="55"/>
      <c r="B14550"/>
    </row>
    <row r="14551" spans="1:2">
      <c r="A14551" s="55"/>
      <c r="B14551"/>
    </row>
    <row r="14552" spans="1:2">
      <c r="A14552" s="55"/>
      <c r="B14552"/>
    </row>
    <row r="14553" spans="1:2">
      <c r="A14553" s="55"/>
      <c r="B14553"/>
    </row>
    <row r="14554" spans="1:2">
      <c r="A14554" s="55"/>
      <c r="B14554"/>
    </row>
    <row r="14555" spans="1:2">
      <c r="A14555" s="55"/>
      <c r="B14555"/>
    </row>
    <row r="14556" spans="1:2">
      <c r="A14556" s="55"/>
      <c r="B14556"/>
    </row>
    <row r="14557" spans="1:2">
      <c r="A14557" s="55"/>
      <c r="B14557"/>
    </row>
    <row r="14558" spans="1:2">
      <c r="A14558" s="55"/>
      <c r="B14558"/>
    </row>
    <row r="14559" spans="1:2">
      <c r="A14559" s="55"/>
      <c r="B14559"/>
    </row>
    <row r="14560" spans="1:2">
      <c r="A14560" s="55"/>
      <c r="B14560"/>
    </row>
    <row r="14561" spans="1:2">
      <c r="A14561" s="55"/>
      <c r="B14561"/>
    </row>
    <row r="14562" spans="1:2">
      <c r="A14562" s="55"/>
      <c r="B14562"/>
    </row>
    <row r="14563" spans="1:2">
      <c r="A14563" s="55"/>
      <c r="B14563"/>
    </row>
    <row r="14564" spans="1:2">
      <c r="A14564" s="55"/>
      <c r="B14564"/>
    </row>
    <row r="14565" spans="1:2">
      <c r="A14565" s="55"/>
      <c r="B14565"/>
    </row>
    <row r="14566" spans="1:2">
      <c r="A14566" s="55"/>
      <c r="B14566"/>
    </row>
    <row r="14567" spans="1:2">
      <c r="A14567" s="55"/>
      <c r="B14567"/>
    </row>
    <row r="14568" spans="1:2">
      <c r="A14568" s="55"/>
      <c r="B14568"/>
    </row>
    <row r="14569" spans="1:2">
      <c r="A14569" s="55"/>
      <c r="B14569"/>
    </row>
    <row r="14570" spans="1:2">
      <c r="A14570" s="55"/>
      <c r="B14570"/>
    </row>
    <row r="14571" spans="1:2">
      <c r="A14571" s="55"/>
      <c r="B14571"/>
    </row>
    <row r="14572" spans="1:2">
      <c r="A14572" s="55"/>
      <c r="B14572"/>
    </row>
    <row r="14573" spans="1:2">
      <c r="A14573" s="55"/>
      <c r="B14573"/>
    </row>
    <row r="14574" spans="1:2">
      <c r="A14574" s="55"/>
      <c r="B14574"/>
    </row>
    <row r="14575" spans="1:2">
      <c r="A14575" s="55"/>
      <c r="B14575"/>
    </row>
    <row r="14576" spans="1:2">
      <c r="A14576" s="55"/>
      <c r="B14576"/>
    </row>
    <row r="14577" spans="1:2">
      <c r="A14577" s="55"/>
      <c r="B14577"/>
    </row>
    <row r="14578" spans="1:2">
      <c r="A14578" s="55"/>
      <c r="B14578"/>
    </row>
    <row r="14579" spans="1:2">
      <c r="A14579" s="55"/>
      <c r="B14579"/>
    </row>
    <row r="14580" spans="1:2">
      <c r="A14580" s="55"/>
      <c r="B14580"/>
    </row>
    <row r="14581" spans="1:2">
      <c r="A14581" s="55"/>
      <c r="B14581"/>
    </row>
    <row r="14582" spans="1:2">
      <c r="A14582" s="55"/>
      <c r="B14582"/>
    </row>
    <row r="14583" spans="1:2">
      <c r="A14583" s="55"/>
      <c r="B14583"/>
    </row>
    <row r="14584" spans="1:2">
      <c r="A14584" s="55"/>
      <c r="B14584"/>
    </row>
    <row r="14585" spans="1:2">
      <c r="A14585" s="55"/>
      <c r="B14585"/>
    </row>
    <row r="14586" spans="1:2">
      <c r="A14586" s="55"/>
      <c r="B14586"/>
    </row>
    <row r="14587" spans="1:2">
      <c r="A14587" s="55"/>
      <c r="B14587"/>
    </row>
    <row r="14588" spans="1:2">
      <c r="A14588" s="55"/>
      <c r="B14588"/>
    </row>
    <row r="14589" spans="1:2">
      <c r="A14589" s="55"/>
      <c r="B14589"/>
    </row>
    <row r="14590" spans="1:2">
      <c r="A14590" s="55"/>
      <c r="B14590"/>
    </row>
    <row r="14591" spans="1:2">
      <c r="A14591" s="55"/>
      <c r="B14591"/>
    </row>
    <row r="14592" spans="1:2">
      <c r="A14592" s="55"/>
      <c r="B14592"/>
    </row>
    <row r="14593" spans="1:2">
      <c r="A14593" s="55"/>
      <c r="B14593"/>
    </row>
    <row r="14594" spans="1:2">
      <c r="A14594" s="55"/>
      <c r="B14594"/>
    </row>
    <row r="14595" spans="1:2">
      <c r="A14595" s="55"/>
      <c r="B14595"/>
    </row>
    <row r="14596" spans="1:2">
      <c r="A14596" s="55"/>
      <c r="B14596"/>
    </row>
    <row r="14597" spans="1:2">
      <c r="A14597" s="55"/>
      <c r="B14597"/>
    </row>
    <row r="14598" spans="1:2">
      <c r="A14598" s="55"/>
      <c r="B14598"/>
    </row>
    <row r="14599" spans="1:2">
      <c r="A14599" s="55"/>
      <c r="B14599"/>
    </row>
    <row r="14600" spans="1:2">
      <c r="A14600" s="55"/>
      <c r="B14600"/>
    </row>
    <row r="14601" spans="1:2">
      <c r="A14601" s="55"/>
      <c r="B14601"/>
    </row>
    <row r="14602" spans="1:2">
      <c r="A14602" s="55"/>
      <c r="B14602"/>
    </row>
    <row r="14603" spans="1:2">
      <c r="A14603" s="55"/>
      <c r="B14603"/>
    </row>
    <row r="14604" spans="1:2">
      <c r="A14604" s="55"/>
      <c r="B14604"/>
    </row>
    <row r="14605" spans="1:2">
      <c r="A14605" s="55"/>
      <c r="B14605"/>
    </row>
    <row r="14606" spans="1:2">
      <c r="A14606" s="55"/>
      <c r="B14606"/>
    </row>
    <row r="14607" spans="1:2">
      <c r="A14607" s="55"/>
      <c r="B14607"/>
    </row>
    <row r="14608" spans="1:2">
      <c r="A14608" s="55"/>
      <c r="B14608"/>
    </row>
    <row r="14609" spans="1:2">
      <c r="A14609" s="55"/>
      <c r="B14609"/>
    </row>
    <row r="14610" spans="1:2">
      <c r="A14610" s="55"/>
      <c r="B14610"/>
    </row>
    <row r="14611" spans="1:2">
      <c r="A14611" s="55"/>
      <c r="B14611"/>
    </row>
    <row r="14612" spans="1:2">
      <c r="A14612" s="55"/>
      <c r="B14612"/>
    </row>
    <row r="14613" spans="1:2">
      <c r="A14613" s="55"/>
      <c r="B14613"/>
    </row>
    <row r="14614" spans="1:2">
      <c r="A14614" s="55"/>
      <c r="B14614"/>
    </row>
    <row r="14615" spans="1:2">
      <c r="A14615" s="55"/>
      <c r="B14615"/>
    </row>
    <row r="14616" spans="1:2">
      <c r="A14616" s="55"/>
      <c r="B14616"/>
    </row>
    <row r="14617" spans="1:2">
      <c r="A14617" s="55"/>
      <c r="B14617"/>
    </row>
    <row r="14618" spans="1:2">
      <c r="A14618" s="55"/>
      <c r="B14618"/>
    </row>
    <row r="14619" spans="1:2">
      <c r="A14619" s="55"/>
      <c r="B14619"/>
    </row>
    <row r="14620" spans="1:2">
      <c r="A14620" s="55"/>
      <c r="B14620"/>
    </row>
    <row r="14621" spans="1:2">
      <c r="A14621" s="55"/>
      <c r="B14621"/>
    </row>
    <row r="14622" spans="1:2">
      <c r="A14622" s="55"/>
      <c r="B14622"/>
    </row>
    <row r="14623" spans="1:2">
      <c r="A14623" s="55"/>
      <c r="B14623"/>
    </row>
    <row r="14624" spans="1:2">
      <c r="A14624" s="55"/>
      <c r="B14624"/>
    </row>
    <row r="14625" spans="1:2">
      <c r="A14625" s="55"/>
      <c r="B14625"/>
    </row>
    <row r="14626" spans="1:2">
      <c r="A14626" s="55"/>
      <c r="B14626"/>
    </row>
    <row r="14627" spans="1:2">
      <c r="A14627" s="55"/>
      <c r="B14627"/>
    </row>
    <row r="14628" spans="1:2">
      <c r="A14628" s="55"/>
      <c r="B14628"/>
    </row>
    <row r="14629" spans="1:2">
      <c r="A14629" s="55"/>
      <c r="B14629"/>
    </row>
    <row r="14630" spans="1:2">
      <c r="A14630" s="55"/>
      <c r="B14630"/>
    </row>
    <row r="14631" spans="1:2">
      <c r="A14631" s="55"/>
      <c r="B14631"/>
    </row>
    <row r="14632" spans="1:2">
      <c r="A14632" s="55"/>
      <c r="B14632"/>
    </row>
    <row r="14633" spans="1:2">
      <c r="A14633" s="55"/>
      <c r="B14633"/>
    </row>
    <row r="14634" spans="1:2">
      <c r="A14634" s="55"/>
      <c r="B14634"/>
    </row>
    <row r="14635" spans="1:2">
      <c r="A14635" s="55"/>
      <c r="B14635"/>
    </row>
    <row r="14636" spans="1:2">
      <c r="A14636" s="55"/>
      <c r="B14636"/>
    </row>
    <row r="14637" spans="1:2">
      <c r="A14637" s="55"/>
      <c r="B14637"/>
    </row>
    <row r="14638" spans="1:2">
      <c r="A14638" s="55"/>
      <c r="B14638"/>
    </row>
    <row r="14639" spans="1:2">
      <c r="A14639" s="55"/>
      <c r="B14639"/>
    </row>
    <row r="14640" spans="1:2">
      <c r="A14640" s="55"/>
      <c r="B14640"/>
    </row>
    <row r="14641" spans="1:2">
      <c r="A14641" s="55"/>
      <c r="B14641"/>
    </row>
    <row r="14642" spans="1:2">
      <c r="A14642" s="55"/>
      <c r="B14642"/>
    </row>
    <row r="14643" spans="1:2">
      <c r="A14643" s="55"/>
      <c r="B14643"/>
    </row>
    <row r="14644" spans="1:2">
      <c r="A14644" s="55"/>
      <c r="B14644"/>
    </row>
    <row r="14645" spans="1:2">
      <c r="A14645" s="55"/>
      <c r="B14645"/>
    </row>
    <row r="14646" spans="1:2">
      <c r="A14646" s="55"/>
      <c r="B14646"/>
    </row>
    <row r="14647" spans="1:2">
      <c r="A14647" s="55"/>
      <c r="B14647"/>
    </row>
    <row r="14648" spans="1:2">
      <c r="A14648" s="55"/>
      <c r="B14648"/>
    </row>
    <row r="14649" spans="1:2">
      <c r="A14649" s="55"/>
      <c r="B14649"/>
    </row>
    <row r="14650" spans="1:2">
      <c r="A14650" s="55"/>
      <c r="B14650"/>
    </row>
    <row r="14651" spans="1:2">
      <c r="A14651" s="55"/>
      <c r="B14651"/>
    </row>
    <row r="14652" spans="1:2">
      <c r="A14652" s="55"/>
      <c r="B14652"/>
    </row>
    <row r="14653" spans="1:2">
      <c r="A14653" s="55"/>
      <c r="B14653"/>
    </row>
    <row r="14654" spans="1:2">
      <c r="A14654" s="55"/>
      <c r="B14654"/>
    </row>
    <row r="14655" spans="1:2">
      <c r="A14655" s="55"/>
      <c r="B14655"/>
    </row>
    <row r="14656" spans="1:2">
      <c r="A14656" s="55"/>
      <c r="B14656"/>
    </row>
    <row r="14657" spans="1:2">
      <c r="A14657" s="55"/>
      <c r="B14657"/>
    </row>
    <row r="14658" spans="1:2">
      <c r="A14658" s="55"/>
      <c r="B14658"/>
    </row>
    <row r="14659" spans="1:2">
      <c r="A14659" s="55"/>
      <c r="B14659"/>
    </row>
    <row r="14660" spans="1:2">
      <c r="A14660" s="55"/>
      <c r="B14660"/>
    </row>
    <row r="14661" spans="1:2">
      <c r="A14661" s="55"/>
      <c r="B14661"/>
    </row>
    <row r="14662" spans="1:2">
      <c r="A14662" s="55"/>
      <c r="B14662"/>
    </row>
    <row r="14663" spans="1:2">
      <c r="A14663" s="55"/>
      <c r="B14663"/>
    </row>
    <row r="14664" spans="1:2">
      <c r="A14664" s="55"/>
      <c r="B14664"/>
    </row>
    <row r="14665" spans="1:2">
      <c r="A14665" s="55"/>
      <c r="B14665"/>
    </row>
    <row r="14666" spans="1:2">
      <c r="A14666" s="55"/>
      <c r="B14666"/>
    </row>
    <row r="14667" spans="1:2">
      <c r="A14667" s="55"/>
      <c r="B14667"/>
    </row>
    <row r="14668" spans="1:2">
      <c r="A14668" s="55"/>
      <c r="B14668"/>
    </row>
    <row r="14669" spans="1:2">
      <c r="A14669" s="55"/>
      <c r="B14669"/>
    </row>
    <row r="14670" spans="1:2">
      <c r="A14670" s="55"/>
      <c r="B14670"/>
    </row>
    <row r="14671" spans="1:2">
      <c r="A14671" s="55"/>
      <c r="B14671"/>
    </row>
    <row r="14672" spans="1:2">
      <c r="A14672" s="55"/>
      <c r="B14672"/>
    </row>
    <row r="14673" spans="1:2">
      <c r="A14673" s="55"/>
      <c r="B14673"/>
    </row>
    <row r="14674" spans="1:2">
      <c r="A14674" s="55"/>
      <c r="B14674"/>
    </row>
    <row r="14675" spans="1:2">
      <c r="A14675" s="55"/>
      <c r="B14675"/>
    </row>
    <row r="14676" spans="1:2">
      <c r="A14676" s="55"/>
      <c r="B14676"/>
    </row>
    <row r="14677" spans="1:2">
      <c r="A14677" s="55"/>
      <c r="B14677"/>
    </row>
    <row r="14678" spans="1:2">
      <c r="A14678" s="55"/>
      <c r="B14678"/>
    </row>
    <row r="14679" spans="1:2">
      <c r="A14679" s="55"/>
      <c r="B14679"/>
    </row>
    <row r="14680" spans="1:2">
      <c r="A14680" s="55"/>
      <c r="B14680"/>
    </row>
    <row r="14681" spans="1:2">
      <c r="A14681" s="55"/>
      <c r="B14681"/>
    </row>
    <row r="14682" spans="1:2">
      <c r="A14682" s="55"/>
      <c r="B14682"/>
    </row>
    <row r="14683" spans="1:2">
      <c r="A14683" s="55"/>
      <c r="B14683"/>
    </row>
    <row r="14684" spans="1:2">
      <c r="A14684" s="55"/>
      <c r="B14684"/>
    </row>
    <row r="14685" spans="1:2">
      <c r="A14685" s="55"/>
      <c r="B14685"/>
    </row>
    <row r="14686" spans="1:2">
      <c r="A14686" s="55"/>
      <c r="B14686"/>
    </row>
    <row r="14687" spans="1:2">
      <c r="A14687" s="55"/>
      <c r="B14687"/>
    </row>
    <row r="14688" spans="1:2">
      <c r="A14688" s="55"/>
      <c r="B14688"/>
    </row>
    <row r="14689" spans="1:2">
      <c r="A14689" s="55"/>
      <c r="B14689"/>
    </row>
    <row r="14690" spans="1:2">
      <c r="A14690" s="55"/>
      <c r="B14690"/>
    </row>
    <row r="14691" spans="1:2">
      <c r="A14691" s="55"/>
      <c r="B14691"/>
    </row>
    <row r="14692" spans="1:2">
      <c r="A14692" s="55"/>
      <c r="B14692"/>
    </row>
    <row r="14693" spans="1:2">
      <c r="A14693" s="55"/>
      <c r="B14693"/>
    </row>
    <row r="14694" spans="1:2">
      <c r="A14694" s="55"/>
      <c r="B14694"/>
    </row>
    <row r="14695" spans="1:2">
      <c r="A14695" s="55"/>
      <c r="B14695"/>
    </row>
    <row r="14696" spans="1:2">
      <c r="A14696" s="55"/>
      <c r="B14696"/>
    </row>
    <row r="14697" spans="1:2">
      <c r="A14697" s="55"/>
      <c r="B14697"/>
    </row>
    <row r="14698" spans="1:2">
      <c r="A14698" s="55"/>
      <c r="B14698"/>
    </row>
    <row r="14699" spans="1:2">
      <c r="A14699" s="55"/>
      <c r="B14699"/>
    </row>
    <row r="14700" spans="1:2">
      <c r="A14700" s="55"/>
      <c r="B14700"/>
    </row>
    <row r="14701" spans="1:2">
      <c r="A14701" s="55"/>
      <c r="B14701"/>
    </row>
    <row r="14702" spans="1:2">
      <c r="A14702" s="55"/>
      <c r="B14702"/>
    </row>
    <row r="14703" spans="1:2">
      <c r="A14703" s="55"/>
      <c r="B14703"/>
    </row>
    <row r="14704" spans="1:2">
      <c r="A14704" s="55"/>
      <c r="B14704"/>
    </row>
    <row r="14705" spans="1:2">
      <c r="A14705" s="55"/>
      <c r="B14705"/>
    </row>
    <row r="14706" spans="1:2">
      <c r="A14706" s="55"/>
      <c r="B14706"/>
    </row>
    <row r="14707" spans="1:2">
      <c r="A14707" s="55"/>
      <c r="B14707"/>
    </row>
    <row r="14708" spans="1:2">
      <c r="A14708" s="55"/>
      <c r="B14708"/>
    </row>
    <row r="14709" spans="1:2">
      <c r="A14709" s="55"/>
      <c r="B14709"/>
    </row>
    <row r="14710" spans="1:2">
      <c r="A14710" s="55"/>
      <c r="B14710"/>
    </row>
    <row r="14711" spans="1:2">
      <c r="A14711" s="55"/>
      <c r="B14711"/>
    </row>
    <row r="14712" spans="1:2">
      <c r="A14712" s="55"/>
      <c r="B14712"/>
    </row>
    <row r="14713" spans="1:2">
      <c r="A14713" s="55"/>
      <c r="B14713"/>
    </row>
    <row r="14714" spans="1:2">
      <c r="A14714" s="55"/>
      <c r="B14714"/>
    </row>
    <row r="14715" spans="1:2">
      <c r="A14715" s="55"/>
      <c r="B14715"/>
    </row>
    <row r="14716" spans="1:2">
      <c r="A14716" s="55"/>
      <c r="B14716"/>
    </row>
    <row r="14717" spans="1:2">
      <c r="A14717" s="55"/>
      <c r="B14717"/>
    </row>
    <row r="14718" spans="1:2">
      <c r="A14718" s="55"/>
      <c r="B14718"/>
    </row>
    <row r="14719" spans="1:2">
      <c r="A14719" s="55"/>
      <c r="B14719"/>
    </row>
    <row r="14720" spans="1:2">
      <c r="A14720" s="55"/>
      <c r="B14720"/>
    </row>
    <row r="14721" spans="1:2">
      <c r="A14721" s="55"/>
      <c r="B14721"/>
    </row>
    <row r="14722" spans="1:2">
      <c r="A14722" s="55"/>
      <c r="B14722"/>
    </row>
    <row r="14723" spans="1:2">
      <c r="A14723" s="55"/>
      <c r="B14723"/>
    </row>
    <row r="14724" spans="1:2">
      <c r="A14724" s="55"/>
      <c r="B14724"/>
    </row>
    <row r="14725" spans="1:2">
      <c r="A14725" s="55"/>
      <c r="B14725"/>
    </row>
    <row r="14726" spans="1:2">
      <c r="A14726" s="55"/>
      <c r="B14726"/>
    </row>
    <row r="14727" spans="1:2">
      <c r="A14727" s="55"/>
      <c r="B14727"/>
    </row>
    <row r="14728" spans="1:2">
      <c r="A14728" s="55"/>
      <c r="B14728"/>
    </row>
    <row r="14729" spans="1:2">
      <c r="A14729" s="55"/>
      <c r="B14729"/>
    </row>
    <row r="14730" spans="1:2">
      <c r="A14730" s="55"/>
      <c r="B14730"/>
    </row>
    <row r="14731" spans="1:2">
      <c r="A14731" s="55"/>
      <c r="B14731"/>
    </row>
    <row r="14732" spans="1:2">
      <c r="A14732" s="55"/>
      <c r="B14732"/>
    </row>
    <row r="14733" spans="1:2">
      <c r="A14733" s="55"/>
      <c r="B14733"/>
    </row>
    <row r="14734" spans="1:2">
      <c r="A14734" s="55"/>
      <c r="B14734"/>
    </row>
    <row r="14735" spans="1:2">
      <c r="A14735" s="55"/>
      <c r="B14735"/>
    </row>
    <row r="14736" spans="1:2">
      <c r="A14736" s="55"/>
      <c r="B14736"/>
    </row>
    <row r="14737" spans="1:2">
      <c r="A14737" s="55"/>
      <c r="B14737"/>
    </row>
    <row r="14738" spans="1:2">
      <c r="A14738" s="55"/>
      <c r="B14738"/>
    </row>
    <row r="14739" spans="1:2">
      <c r="A14739" s="55"/>
      <c r="B14739"/>
    </row>
    <row r="14740" spans="1:2">
      <c r="A14740" s="55"/>
      <c r="B14740"/>
    </row>
    <row r="14741" spans="1:2">
      <c r="A14741" s="55"/>
      <c r="B14741"/>
    </row>
    <row r="14742" spans="1:2">
      <c r="A14742" s="55"/>
      <c r="B14742"/>
    </row>
    <row r="14743" spans="1:2">
      <c r="A14743" s="55"/>
      <c r="B14743"/>
    </row>
    <row r="14744" spans="1:2">
      <c r="A14744" s="55"/>
      <c r="B14744"/>
    </row>
    <row r="14745" spans="1:2">
      <c r="A14745" s="55"/>
      <c r="B14745"/>
    </row>
    <row r="14746" spans="1:2">
      <c r="A14746" s="55"/>
      <c r="B14746"/>
    </row>
    <row r="14747" spans="1:2">
      <c r="A14747" s="55"/>
      <c r="B14747"/>
    </row>
    <row r="14748" spans="1:2">
      <c r="A14748" s="55"/>
      <c r="B14748"/>
    </row>
    <row r="14749" spans="1:2">
      <c r="A14749" s="55"/>
      <c r="B14749"/>
    </row>
    <row r="14750" spans="1:2">
      <c r="A14750" s="55"/>
      <c r="B14750"/>
    </row>
    <row r="14751" spans="1:2">
      <c r="A14751" s="55"/>
      <c r="B14751"/>
    </row>
    <row r="14752" spans="1:2">
      <c r="A14752" s="55"/>
      <c r="B14752"/>
    </row>
    <row r="14753" spans="1:2">
      <c r="A14753" s="55"/>
      <c r="B14753"/>
    </row>
    <row r="14754" spans="1:2">
      <c r="A14754" s="55"/>
      <c r="B14754"/>
    </row>
    <row r="14755" spans="1:2">
      <c r="A14755" s="55"/>
      <c r="B14755"/>
    </row>
    <row r="14756" spans="1:2">
      <c r="A14756" s="55"/>
      <c r="B14756"/>
    </row>
    <row r="14757" spans="1:2">
      <c r="A14757" s="55"/>
      <c r="B14757"/>
    </row>
    <row r="14758" spans="1:2">
      <c r="A14758" s="55"/>
      <c r="B14758"/>
    </row>
    <row r="14759" spans="1:2">
      <c r="A14759" s="55"/>
      <c r="B14759"/>
    </row>
    <row r="14760" spans="1:2">
      <c r="A14760" s="55"/>
      <c r="B14760"/>
    </row>
    <row r="14761" spans="1:2">
      <c r="A14761" s="55"/>
      <c r="B14761"/>
    </row>
    <row r="14762" spans="1:2">
      <c r="A14762" s="55"/>
      <c r="B14762"/>
    </row>
    <row r="14763" spans="1:2">
      <c r="A14763" s="55"/>
      <c r="B14763"/>
    </row>
    <row r="14764" spans="1:2">
      <c r="A14764" s="55"/>
      <c r="B14764"/>
    </row>
    <row r="14765" spans="1:2">
      <c r="A14765" s="55"/>
      <c r="B14765"/>
    </row>
    <row r="14766" spans="1:2">
      <c r="A14766" s="55"/>
      <c r="B14766"/>
    </row>
    <row r="14767" spans="1:2">
      <c r="A14767" s="55"/>
      <c r="B14767"/>
    </row>
    <row r="14768" spans="1:2">
      <c r="A14768" s="55"/>
      <c r="B14768"/>
    </row>
    <row r="14769" spans="1:2">
      <c r="A14769" s="55"/>
      <c r="B14769"/>
    </row>
    <row r="14770" spans="1:2">
      <c r="A14770" s="55"/>
      <c r="B14770"/>
    </row>
    <row r="14771" spans="1:2">
      <c r="A14771" s="55"/>
      <c r="B14771"/>
    </row>
    <row r="14772" spans="1:2">
      <c r="A14772" s="55"/>
      <c r="B14772"/>
    </row>
    <row r="14773" spans="1:2">
      <c r="A14773" s="55"/>
      <c r="B14773"/>
    </row>
    <row r="14774" spans="1:2">
      <c r="A14774" s="55"/>
      <c r="B14774"/>
    </row>
    <row r="14775" spans="1:2">
      <c r="A14775" s="55"/>
      <c r="B14775"/>
    </row>
    <row r="14776" spans="1:2">
      <c r="A14776" s="55"/>
      <c r="B14776"/>
    </row>
    <row r="14777" spans="1:2">
      <c r="A14777" s="55"/>
      <c r="B14777"/>
    </row>
    <row r="14778" spans="1:2">
      <c r="A14778" s="55"/>
      <c r="B14778"/>
    </row>
    <row r="14779" spans="1:2">
      <c r="A14779" s="55"/>
      <c r="B14779"/>
    </row>
    <row r="14780" spans="1:2">
      <c r="A14780" s="55"/>
      <c r="B14780"/>
    </row>
    <row r="14781" spans="1:2">
      <c r="A14781" s="55"/>
      <c r="B14781"/>
    </row>
    <row r="14782" spans="1:2">
      <c r="A14782" s="55"/>
      <c r="B14782"/>
    </row>
    <row r="14783" spans="1:2">
      <c r="A14783" s="55"/>
      <c r="B14783"/>
    </row>
    <row r="14784" spans="1:2">
      <c r="A14784" s="55"/>
      <c r="B14784"/>
    </row>
    <row r="14785" spans="1:2">
      <c r="A14785" s="55"/>
      <c r="B14785"/>
    </row>
    <row r="14786" spans="1:2">
      <c r="A14786" s="55"/>
      <c r="B14786"/>
    </row>
    <row r="14787" spans="1:2">
      <c r="A14787" s="55"/>
      <c r="B14787"/>
    </row>
    <row r="14788" spans="1:2">
      <c r="A14788" s="55"/>
      <c r="B14788"/>
    </row>
    <row r="14789" spans="1:2">
      <c r="A14789" s="55"/>
      <c r="B14789"/>
    </row>
    <row r="14790" spans="1:2">
      <c r="A14790" s="55"/>
      <c r="B14790"/>
    </row>
    <row r="14791" spans="1:2">
      <c r="A14791" s="55"/>
      <c r="B14791"/>
    </row>
    <row r="14792" spans="1:2">
      <c r="A14792" s="55"/>
      <c r="B14792"/>
    </row>
    <row r="14793" spans="1:2">
      <c r="A14793" s="55"/>
      <c r="B14793"/>
    </row>
    <row r="14794" spans="1:2">
      <c r="A14794" s="55"/>
      <c r="B14794"/>
    </row>
    <row r="14795" spans="1:2">
      <c r="A14795" s="55"/>
      <c r="B14795"/>
    </row>
    <row r="14796" spans="1:2">
      <c r="A14796" s="55"/>
      <c r="B14796"/>
    </row>
    <row r="14797" spans="1:2">
      <c r="A14797" s="55"/>
      <c r="B14797"/>
    </row>
    <row r="14798" spans="1:2">
      <c r="A14798" s="55"/>
      <c r="B14798"/>
    </row>
    <row r="14799" spans="1:2">
      <c r="A14799" s="55"/>
      <c r="B14799"/>
    </row>
    <row r="14800" spans="1:2">
      <c r="A14800" s="55"/>
      <c r="B14800"/>
    </row>
    <row r="14801" spans="1:2">
      <c r="A14801" s="55"/>
      <c r="B14801"/>
    </row>
    <row r="14802" spans="1:2">
      <c r="A14802" s="55"/>
      <c r="B14802"/>
    </row>
    <row r="14803" spans="1:2">
      <c r="A14803" s="55"/>
      <c r="B14803"/>
    </row>
    <row r="14804" spans="1:2">
      <c r="A14804" s="55"/>
      <c r="B14804"/>
    </row>
    <row r="14805" spans="1:2">
      <c r="A14805" s="55"/>
      <c r="B14805"/>
    </row>
    <row r="14806" spans="1:2">
      <c r="A14806" s="55"/>
      <c r="B14806"/>
    </row>
    <row r="14807" spans="1:2">
      <c r="A14807" s="55"/>
      <c r="B14807"/>
    </row>
    <row r="14808" spans="1:2">
      <c r="A14808" s="55"/>
      <c r="B14808"/>
    </row>
    <row r="14809" spans="1:2">
      <c r="A14809" s="55"/>
      <c r="B14809"/>
    </row>
    <row r="14810" spans="1:2">
      <c r="A14810" s="55"/>
      <c r="B14810"/>
    </row>
    <row r="14811" spans="1:2">
      <c r="A14811" s="55"/>
      <c r="B14811"/>
    </row>
    <row r="14812" spans="1:2">
      <c r="A14812" s="55"/>
      <c r="B14812"/>
    </row>
    <row r="14813" spans="1:2">
      <c r="A14813" s="55"/>
      <c r="B14813"/>
    </row>
    <row r="14814" spans="1:2">
      <c r="A14814" s="55"/>
      <c r="B14814"/>
    </row>
    <row r="14815" spans="1:2">
      <c r="A14815" s="55"/>
      <c r="B14815"/>
    </row>
    <row r="14816" spans="1:2">
      <c r="A14816" s="55"/>
      <c r="B14816"/>
    </row>
    <row r="14817" spans="1:2">
      <c r="A14817" s="55"/>
      <c r="B14817"/>
    </row>
    <row r="14818" spans="1:2">
      <c r="A14818" s="55"/>
      <c r="B14818"/>
    </row>
    <row r="14819" spans="1:2">
      <c r="A14819" s="55"/>
      <c r="B14819"/>
    </row>
    <row r="14820" spans="1:2">
      <c r="A14820" s="55"/>
      <c r="B14820"/>
    </row>
    <row r="14821" spans="1:2">
      <c r="A14821" s="55"/>
      <c r="B14821"/>
    </row>
    <row r="14822" spans="1:2">
      <c r="A14822" s="55"/>
      <c r="B14822"/>
    </row>
    <row r="14823" spans="1:2">
      <c r="A14823" s="55"/>
      <c r="B14823"/>
    </row>
    <row r="14824" spans="1:2">
      <c r="A14824" s="55"/>
      <c r="B14824"/>
    </row>
    <row r="14825" spans="1:2">
      <c r="A14825" s="55"/>
      <c r="B14825"/>
    </row>
    <row r="14826" spans="1:2">
      <c r="A14826" s="55"/>
      <c r="B14826"/>
    </row>
    <row r="14827" spans="1:2">
      <c r="A14827" s="55"/>
      <c r="B14827"/>
    </row>
    <row r="14828" spans="1:2">
      <c r="A14828" s="55"/>
      <c r="B14828"/>
    </row>
    <row r="14829" spans="1:2">
      <c r="A14829" s="55"/>
      <c r="B14829"/>
    </row>
    <row r="14830" spans="1:2">
      <c r="A14830" s="55"/>
      <c r="B14830"/>
    </row>
    <row r="14831" spans="1:2">
      <c r="A14831" s="55"/>
      <c r="B14831"/>
    </row>
    <row r="14832" spans="1:2">
      <c r="A14832" s="55"/>
      <c r="B14832"/>
    </row>
    <row r="14833" spans="1:2">
      <c r="A14833" s="55"/>
      <c r="B14833"/>
    </row>
    <row r="14834" spans="1:2">
      <c r="A14834" s="55"/>
      <c r="B14834"/>
    </row>
    <row r="14835" spans="1:2">
      <c r="A14835" s="55"/>
      <c r="B14835"/>
    </row>
    <row r="14836" spans="1:2">
      <c r="A14836" s="55"/>
      <c r="B14836"/>
    </row>
    <row r="14837" spans="1:2">
      <c r="A14837" s="55"/>
      <c r="B14837"/>
    </row>
    <row r="14838" spans="1:2">
      <c r="A14838" s="55"/>
      <c r="B14838"/>
    </row>
    <row r="14839" spans="1:2">
      <c r="A14839" s="55"/>
      <c r="B14839"/>
    </row>
    <row r="14840" spans="1:2">
      <c r="A14840" s="55"/>
      <c r="B14840"/>
    </row>
    <row r="14841" spans="1:2">
      <c r="A14841" s="55"/>
      <c r="B14841"/>
    </row>
    <row r="14842" spans="1:2">
      <c r="A14842" s="55"/>
      <c r="B14842"/>
    </row>
    <row r="14843" spans="1:2">
      <c r="A14843" s="55"/>
      <c r="B14843"/>
    </row>
    <row r="14844" spans="1:2">
      <c r="A14844" s="55"/>
      <c r="B14844"/>
    </row>
    <row r="14845" spans="1:2">
      <c r="A14845" s="55"/>
      <c r="B14845"/>
    </row>
    <row r="14846" spans="1:2">
      <c r="A14846" s="55"/>
      <c r="B14846"/>
    </row>
    <row r="14847" spans="1:2">
      <c r="A14847" s="55"/>
      <c r="B14847"/>
    </row>
    <row r="14848" spans="1:2">
      <c r="A14848" s="55"/>
      <c r="B14848"/>
    </row>
    <row r="14849" spans="1:2">
      <c r="A14849" s="55"/>
      <c r="B14849"/>
    </row>
    <row r="14850" spans="1:2">
      <c r="A14850" s="55"/>
      <c r="B14850"/>
    </row>
    <row r="14851" spans="1:2">
      <c r="A14851" s="55"/>
      <c r="B14851"/>
    </row>
    <row r="14852" spans="1:2">
      <c r="A14852" s="55"/>
      <c r="B14852"/>
    </row>
    <row r="14853" spans="1:2">
      <c r="A14853" s="55"/>
      <c r="B14853"/>
    </row>
    <row r="14854" spans="1:2">
      <c r="A14854" s="55"/>
      <c r="B14854"/>
    </row>
    <row r="14855" spans="1:2">
      <c r="A14855" s="55"/>
      <c r="B14855"/>
    </row>
    <row r="14856" spans="1:2">
      <c r="A14856" s="55"/>
      <c r="B14856"/>
    </row>
    <row r="14857" spans="1:2">
      <c r="A14857" s="55"/>
      <c r="B14857"/>
    </row>
    <row r="14858" spans="1:2">
      <c r="A14858" s="55"/>
      <c r="B14858"/>
    </row>
    <row r="14859" spans="1:2">
      <c r="A14859" s="55"/>
      <c r="B14859"/>
    </row>
    <row r="14860" spans="1:2">
      <c r="A14860" s="55"/>
      <c r="B14860"/>
    </row>
    <row r="14861" spans="1:2">
      <c r="A14861" s="55"/>
      <c r="B14861"/>
    </row>
    <row r="14862" spans="1:2">
      <c r="A14862" s="55"/>
      <c r="B14862"/>
    </row>
    <row r="14863" spans="1:2">
      <c r="A14863" s="55"/>
      <c r="B14863"/>
    </row>
    <row r="14864" spans="1:2">
      <c r="A14864" s="55"/>
      <c r="B14864"/>
    </row>
    <row r="14865" spans="1:2">
      <c r="A14865" s="55"/>
      <c r="B14865"/>
    </row>
    <row r="14866" spans="1:2">
      <c r="A14866" s="55"/>
      <c r="B14866"/>
    </row>
    <row r="14867" spans="1:2">
      <c r="A14867" s="55"/>
      <c r="B14867"/>
    </row>
    <row r="14868" spans="1:2">
      <c r="A14868" s="55"/>
      <c r="B14868"/>
    </row>
    <row r="14869" spans="1:2">
      <c r="A14869" s="55"/>
      <c r="B14869"/>
    </row>
    <row r="14870" spans="1:2">
      <c r="A14870" s="55"/>
      <c r="B14870"/>
    </row>
    <row r="14871" spans="1:2">
      <c r="A14871" s="55"/>
      <c r="B14871"/>
    </row>
    <row r="14872" spans="1:2">
      <c r="A14872" s="55"/>
      <c r="B14872"/>
    </row>
    <row r="14873" spans="1:2">
      <c r="A14873" s="55"/>
      <c r="B14873"/>
    </row>
    <row r="14874" spans="1:2">
      <c r="A14874" s="55"/>
      <c r="B14874"/>
    </row>
    <row r="14875" spans="1:2">
      <c r="A14875" s="55"/>
      <c r="B14875"/>
    </row>
    <row r="14876" spans="1:2">
      <c r="A14876" s="55"/>
      <c r="B14876"/>
    </row>
    <row r="14877" spans="1:2">
      <c r="A14877" s="55"/>
      <c r="B14877"/>
    </row>
    <row r="14878" spans="1:2">
      <c r="A14878" s="55"/>
      <c r="B14878"/>
    </row>
    <row r="14879" spans="1:2">
      <c r="A14879" s="55"/>
      <c r="B14879"/>
    </row>
    <row r="14880" spans="1:2">
      <c r="A14880" s="55"/>
      <c r="B14880"/>
    </row>
    <row r="14881" spans="1:2">
      <c r="A14881" s="55"/>
      <c r="B14881"/>
    </row>
    <row r="14882" spans="1:2">
      <c r="A14882" s="55"/>
      <c r="B14882"/>
    </row>
    <row r="14883" spans="1:2">
      <c r="A14883" s="55"/>
      <c r="B14883"/>
    </row>
    <row r="14884" spans="1:2">
      <c r="A14884" s="55"/>
      <c r="B14884"/>
    </row>
    <row r="14885" spans="1:2">
      <c r="A14885" s="55"/>
      <c r="B14885"/>
    </row>
    <row r="14886" spans="1:2">
      <c r="A14886" s="55"/>
      <c r="B14886"/>
    </row>
    <row r="14887" spans="1:2">
      <c r="A14887" s="55"/>
      <c r="B14887"/>
    </row>
    <row r="14888" spans="1:2">
      <c r="A14888" s="55"/>
      <c r="B14888"/>
    </row>
    <row r="14889" spans="1:2">
      <c r="A14889" s="55"/>
      <c r="B14889"/>
    </row>
    <row r="14890" spans="1:2">
      <c r="A14890" s="55"/>
      <c r="B14890"/>
    </row>
    <row r="14891" spans="1:2">
      <c r="A14891" s="55"/>
      <c r="B14891"/>
    </row>
    <row r="14892" spans="1:2">
      <c r="A14892" s="55"/>
      <c r="B14892"/>
    </row>
    <row r="14893" spans="1:2">
      <c r="A14893" s="55"/>
      <c r="B14893"/>
    </row>
    <row r="14894" spans="1:2">
      <c r="A14894" s="55"/>
      <c r="B14894"/>
    </row>
    <row r="14895" spans="1:2">
      <c r="A14895" s="55"/>
      <c r="B14895"/>
    </row>
    <row r="14896" spans="1:2">
      <c r="A14896" s="55"/>
      <c r="B14896"/>
    </row>
    <row r="14897" spans="1:2">
      <c r="A14897" s="55"/>
      <c r="B14897"/>
    </row>
    <row r="14898" spans="1:2">
      <c r="A14898" s="55"/>
      <c r="B14898"/>
    </row>
    <row r="14899" spans="1:2">
      <c r="A14899" s="55"/>
      <c r="B14899"/>
    </row>
    <row r="14900" spans="1:2">
      <c r="A14900" s="55"/>
      <c r="B14900"/>
    </row>
    <row r="14901" spans="1:2">
      <c r="A14901" s="55"/>
      <c r="B14901"/>
    </row>
    <row r="14902" spans="1:2">
      <c r="A14902" s="55"/>
      <c r="B14902"/>
    </row>
    <row r="14903" spans="1:2">
      <c r="A14903" s="55"/>
      <c r="B14903"/>
    </row>
    <row r="14904" spans="1:2">
      <c r="A14904" s="55"/>
      <c r="B14904"/>
    </row>
    <row r="14905" spans="1:2">
      <c r="A14905" s="55"/>
      <c r="B14905"/>
    </row>
    <row r="14906" spans="1:2">
      <c r="A14906" s="55"/>
      <c r="B14906"/>
    </row>
    <row r="14907" spans="1:2">
      <c r="A14907" s="55"/>
      <c r="B14907"/>
    </row>
    <row r="14908" spans="1:2">
      <c r="A14908" s="55"/>
      <c r="B14908"/>
    </row>
    <row r="14909" spans="1:2">
      <c r="A14909" s="55"/>
      <c r="B14909"/>
    </row>
    <row r="14910" spans="1:2">
      <c r="A14910" s="55"/>
      <c r="B14910"/>
    </row>
    <row r="14911" spans="1:2">
      <c r="A14911" s="55"/>
      <c r="B14911"/>
    </row>
    <row r="14912" spans="1:2">
      <c r="A14912" s="55"/>
      <c r="B14912"/>
    </row>
    <row r="14913" spans="1:2">
      <c r="A14913" s="55"/>
      <c r="B14913"/>
    </row>
    <row r="14914" spans="1:2">
      <c r="A14914" s="55"/>
      <c r="B14914"/>
    </row>
    <row r="14915" spans="1:2">
      <c r="A14915" s="55"/>
      <c r="B14915"/>
    </row>
    <row r="14916" spans="1:2">
      <c r="A14916" s="55"/>
      <c r="B14916"/>
    </row>
    <row r="14917" spans="1:2">
      <c r="A14917" s="55"/>
      <c r="B14917"/>
    </row>
    <row r="14918" spans="1:2">
      <c r="A14918" s="55"/>
      <c r="B14918"/>
    </row>
    <row r="14919" spans="1:2">
      <c r="A14919" s="55"/>
      <c r="B14919"/>
    </row>
    <row r="14920" spans="1:2">
      <c r="A14920" s="55"/>
      <c r="B14920"/>
    </row>
    <row r="14921" spans="1:2">
      <c r="A14921" s="55"/>
      <c r="B14921"/>
    </row>
    <row r="14922" spans="1:2">
      <c r="A14922" s="55"/>
      <c r="B14922"/>
    </row>
    <row r="14923" spans="1:2">
      <c r="A14923" s="55"/>
      <c r="B14923"/>
    </row>
    <row r="14924" spans="1:2">
      <c r="A14924" s="55"/>
      <c r="B14924"/>
    </row>
    <row r="14925" spans="1:2">
      <c r="A14925" s="55"/>
      <c r="B14925"/>
    </row>
    <row r="14926" spans="1:2">
      <c r="A14926" s="55"/>
      <c r="B14926"/>
    </row>
    <row r="14927" spans="1:2">
      <c r="A14927" s="55"/>
      <c r="B14927"/>
    </row>
    <row r="14928" spans="1:2">
      <c r="A14928" s="55"/>
      <c r="B14928"/>
    </row>
    <row r="14929" spans="1:2">
      <c r="A14929" s="55"/>
      <c r="B14929"/>
    </row>
    <row r="14930" spans="1:2">
      <c r="A14930" s="55"/>
      <c r="B14930"/>
    </row>
    <row r="14931" spans="1:2">
      <c r="A14931" s="55"/>
      <c r="B14931"/>
    </row>
    <row r="14932" spans="1:2">
      <c r="A14932" s="55"/>
      <c r="B14932"/>
    </row>
    <row r="14933" spans="1:2">
      <c r="A14933" s="55"/>
      <c r="B14933"/>
    </row>
    <row r="14934" spans="1:2">
      <c r="A14934" s="55"/>
      <c r="B14934"/>
    </row>
    <row r="14935" spans="1:2">
      <c r="A14935" s="55"/>
      <c r="B14935"/>
    </row>
    <row r="14936" spans="1:2">
      <c r="A14936" s="55"/>
      <c r="B14936"/>
    </row>
    <row r="14937" spans="1:2">
      <c r="A14937" s="55"/>
      <c r="B14937"/>
    </row>
    <row r="14938" spans="1:2">
      <c r="A14938" s="55"/>
      <c r="B14938"/>
    </row>
    <row r="14939" spans="1:2">
      <c r="A14939" s="55"/>
      <c r="B14939"/>
    </row>
    <row r="14940" spans="1:2">
      <c r="A14940" s="55"/>
      <c r="B14940"/>
    </row>
    <row r="14941" spans="1:2">
      <c r="A14941" s="55"/>
      <c r="B14941"/>
    </row>
    <row r="14942" spans="1:2">
      <c r="A14942" s="55"/>
      <c r="B14942"/>
    </row>
    <row r="14943" spans="1:2">
      <c r="A14943" s="55"/>
      <c r="B14943"/>
    </row>
    <row r="14944" spans="1:2">
      <c r="A14944" s="55"/>
      <c r="B14944"/>
    </row>
    <row r="14945" spans="1:2">
      <c r="A14945" s="55"/>
      <c r="B14945"/>
    </row>
    <row r="14946" spans="1:2">
      <c r="A14946" s="55"/>
      <c r="B14946"/>
    </row>
    <row r="14947" spans="1:2">
      <c r="A14947" s="55"/>
      <c r="B14947"/>
    </row>
    <row r="14948" spans="1:2">
      <c r="A14948" s="55"/>
      <c r="B14948"/>
    </row>
    <row r="14949" spans="1:2">
      <c r="A14949" s="55"/>
      <c r="B14949"/>
    </row>
    <row r="14950" spans="1:2">
      <c r="A14950" s="55"/>
      <c r="B14950"/>
    </row>
    <row r="14951" spans="1:2">
      <c r="A14951" s="55"/>
      <c r="B14951"/>
    </row>
    <row r="14952" spans="1:2">
      <c r="A14952" s="55"/>
      <c r="B14952"/>
    </row>
    <row r="14953" spans="1:2">
      <c r="A14953" s="55"/>
      <c r="B14953"/>
    </row>
    <row r="14954" spans="1:2">
      <c r="A14954" s="55"/>
      <c r="B14954"/>
    </row>
    <row r="14955" spans="1:2">
      <c r="A14955" s="55"/>
      <c r="B14955"/>
    </row>
    <row r="14956" spans="1:2">
      <c r="A14956" s="55"/>
      <c r="B14956"/>
    </row>
    <row r="14957" spans="1:2">
      <c r="A14957" s="55"/>
      <c r="B14957"/>
    </row>
    <row r="14958" spans="1:2">
      <c r="A14958" s="55"/>
      <c r="B14958"/>
    </row>
    <row r="14959" spans="1:2">
      <c r="A14959" s="55"/>
      <c r="B14959"/>
    </row>
    <row r="14960" spans="1:2">
      <c r="A14960" s="55"/>
      <c r="B14960"/>
    </row>
    <row r="14961" spans="1:2">
      <c r="A14961" s="55"/>
      <c r="B14961"/>
    </row>
    <row r="14962" spans="1:2">
      <c r="A14962" s="55"/>
      <c r="B14962"/>
    </row>
    <row r="14963" spans="1:2">
      <c r="A14963" s="55"/>
      <c r="B14963"/>
    </row>
    <row r="14964" spans="1:2">
      <c r="A14964" s="55"/>
      <c r="B14964"/>
    </row>
    <row r="14965" spans="1:2">
      <c r="A14965" s="55"/>
      <c r="B14965"/>
    </row>
    <row r="14966" spans="1:2">
      <c r="A14966" s="55"/>
      <c r="B14966"/>
    </row>
    <row r="14967" spans="1:2">
      <c r="A14967" s="55"/>
      <c r="B14967"/>
    </row>
    <row r="14968" spans="1:2">
      <c r="A14968" s="55"/>
      <c r="B14968"/>
    </row>
    <row r="14969" spans="1:2">
      <c r="A14969" s="55"/>
      <c r="B14969"/>
    </row>
    <row r="14970" spans="1:2">
      <c r="A14970" s="55"/>
      <c r="B14970"/>
    </row>
    <row r="14971" spans="1:2">
      <c r="A14971" s="55"/>
      <c r="B14971"/>
    </row>
    <row r="14972" spans="1:2">
      <c r="A14972" s="55"/>
      <c r="B14972"/>
    </row>
    <row r="14973" spans="1:2">
      <c r="A14973" s="55"/>
      <c r="B14973"/>
    </row>
    <row r="14974" spans="1:2">
      <c r="A14974" s="55"/>
      <c r="B14974"/>
    </row>
    <row r="14975" spans="1:2">
      <c r="A14975" s="55"/>
      <c r="B14975"/>
    </row>
    <row r="14976" spans="1:2">
      <c r="A14976" s="55"/>
      <c r="B14976"/>
    </row>
    <row r="14977" spans="1:2">
      <c r="A14977" s="55"/>
      <c r="B14977"/>
    </row>
    <row r="14978" spans="1:2">
      <c r="A14978" s="55"/>
      <c r="B14978"/>
    </row>
    <row r="14979" spans="1:2">
      <c r="A14979" s="55"/>
      <c r="B14979"/>
    </row>
    <row r="14980" spans="1:2">
      <c r="A14980" s="55"/>
      <c r="B14980"/>
    </row>
    <row r="14981" spans="1:2">
      <c r="A14981" s="55"/>
      <c r="B14981"/>
    </row>
    <row r="14982" spans="1:2">
      <c r="A14982" s="55"/>
      <c r="B14982"/>
    </row>
    <row r="14983" spans="1:2">
      <c r="A14983" s="55"/>
      <c r="B14983"/>
    </row>
    <row r="14984" spans="1:2">
      <c r="A14984" s="55"/>
      <c r="B14984"/>
    </row>
    <row r="14985" spans="1:2">
      <c r="A14985" s="55"/>
      <c r="B14985"/>
    </row>
    <row r="14986" spans="1:2">
      <c r="A14986" s="55"/>
      <c r="B14986"/>
    </row>
    <row r="14987" spans="1:2">
      <c r="A14987" s="55"/>
      <c r="B14987"/>
    </row>
    <row r="14988" spans="1:2">
      <c r="A14988" s="55"/>
      <c r="B14988"/>
    </row>
    <row r="14989" spans="1:2">
      <c r="A14989" s="55"/>
      <c r="B14989"/>
    </row>
    <row r="14990" spans="1:2">
      <c r="A14990" s="55"/>
      <c r="B14990"/>
    </row>
    <row r="14991" spans="1:2">
      <c r="A14991" s="55"/>
      <c r="B14991"/>
    </row>
    <row r="14992" spans="1:2">
      <c r="A14992" s="55"/>
      <c r="B14992"/>
    </row>
    <row r="14993" spans="1:2">
      <c r="A14993" s="55"/>
      <c r="B14993"/>
    </row>
    <row r="14994" spans="1:2">
      <c r="A14994" s="55"/>
      <c r="B14994"/>
    </row>
    <row r="14995" spans="1:2">
      <c r="A14995" s="55"/>
      <c r="B14995"/>
    </row>
    <row r="14996" spans="1:2">
      <c r="A14996" s="55"/>
      <c r="B14996"/>
    </row>
    <row r="14997" spans="1:2">
      <c r="A14997" s="55"/>
      <c r="B14997"/>
    </row>
    <row r="14998" spans="1:2">
      <c r="A14998" s="55"/>
      <c r="B14998"/>
    </row>
    <row r="14999" spans="1:2">
      <c r="A14999" s="55"/>
      <c r="B14999"/>
    </row>
    <row r="15000" spans="1:2">
      <c r="A15000" s="55"/>
      <c r="B15000"/>
    </row>
    <row r="15001" spans="1:2">
      <c r="A15001" s="55"/>
      <c r="B15001"/>
    </row>
    <row r="15002" spans="1:2">
      <c r="A15002" s="55"/>
      <c r="B15002"/>
    </row>
    <row r="15003" spans="1:2">
      <c r="A15003" s="55"/>
      <c r="B15003"/>
    </row>
    <row r="15004" spans="1:2">
      <c r="A15004" s="55"/>
      <c r="B15004"/>
    </row>
    <row r="15005" spans="1:2">
      <c r="A15005" s="55"/>
      <c r="B15005"/>
    </row>
    <row r="15006" spans="1:2">
      <c r="A15006" s="55"/>
      <c r="B15006"/>
    </row>
    <row r="15007" spans="1:2">
      <c r="A15007" s="55"/>
      <c r="B15007"/>
    </row>
    <row r="15008" spans="1:2">
      <c r="A15008" s="55"/>
      <c r="B15008"/>
    </row>
    <row r="15009" spans="1:2">
      <c r="A15009" s="55"/>
      <c r="B15009"/>
    </row>
    <row r="15010" spans="1:2">
      <c r="A15010" s="55"/>
      <c r="B15010"/>
    </row>
    <row r="15011" spans="1:2">
      <c r="A15011" s="55"/>
      <c r="B15011"/>
    </row>
    <row r="15012" spans="1:2">
      <c r="A15012" s="55"/>
      <c r="B15012"/>
    </row>
    <row r="15013" spans="1:2">
      <c r="A15013" s="55"/>
      <c r="B15013"/>
    </row>
    <row r="15014" spans="1:2">
      <c r="A15014" s="55"/>
      <c r="B15014"/>
    </row>
    <row r="15015" spans="1:2">
      <c r="A15015" s="55"/>
      <c r="B15015"/>
    </row>
    <row r="15016" spans="1:2">
      <c r="A15016" s="55"/>
      <c r="B15016"/>
    </row>
    <row r="15017" spans="1:2">
      <c r="A15017" s="55"/>
      <c r="B15017"/>
    </row>
    <row r="15018" spans="1:2">
      <c r="A15018" s="55"/>
      <c r="B15018"/>
    </row>
    <row r="15019" spans="1:2">
      <c r="A15019" s="55"/>
      <c r="B15019"/>
    </row>
    <row r="15020" spans="1:2">
      <c r="A15020" s="55"/>
      <c r="B15020"/>
    </row>
    <row r="15021" spans="1:2">
      <c r="A15021" s="55"/>
      <c r="B15021"/>
    </row>
    <row r="15022" spans="1:2">
      <c r="A15022" s="55"/>
      <c r="B15022"/>
    </row>
    <row r="15023" spans="1:2">
      <c r="A15023" s="55"/>
      <c r="B15023"/>
    </row>
    <row r="15024" spans="1:2">
      <c r="A15024" s="55"/>
      <c r="B15024"/>
    </row>
    <row r="15025" spans="1:2">
      <c r="A15025" s="55"/>
      <c r="B15025"/>
    </row>
    <row r="15026" spans="1:2">
      <c r="A15026" s="55"/>
      <c r="B15026"/>
    </row>
    <row r="15027" spans="1:2">
      <c r="A15027" s="55"/>
      <c r="B15027"/>
    </row>
    <row r="15028" spans="1:2">
      <c r="A15028" s="55"/>
      <c r="B15028"/>
    </row>
    <row r="15029" spans="1:2">
      <c r="A15029" s="55"/>
      <c r="B15029"/>
    </row>
    <row r="15030" spans="1:2">
      <c r="A15030" s="55"/>
      <c r="B15030"/>
    </row>
    <row r="15031" spans="1:2">
      <c r="A15031" s="55"/>
      <c r="B15031"/>
    </row>
    <row r="15032" spans="1:2">
      <c r="A15032" s="55"/>
      <c r="B15032"/>
    </row>
    <row r="15033" spans="1:2">
      <c r="A15033" s="55"/>
      <c r="B15033"/>
    </row>
    <row r="15034" spans="1:2">
      <c r="A15034" s="55"/>
      <c r="B15034"/>
    </row>
    <row r="15035" spans="1:2">
      <c r="A15035" s="55"/>
      <c r="B15035"/>
    </row>
    <row r="15036" spans="1:2">
      <c r="A15036" s="55"/>
      <c r="B15036"/>
    </row>
    <row r="15037" spans="1:2">
      <c r="A15037" s="55"/>
      <c r="B15037"/>
    </row>
    <row r="15038" spans="1:2">
      <c r="A15038" s="55"/>
      <c r="B15038"/>
    </row>
    <row r="15039" spans="1:2">
      <c r="A15039" s="55"/>
      <c r="B15039"/>
    </row>
    <row r="15040" spans="1:2">
      <c r="A15040" s="55"/>
      <c r="B15040"/>
    </row>
    <row r="15041" spans="1:2">
      <c r="A15041" s="55"/>
      <c r="B15041"/>
    </row>
    <row r="15042" spans="1:2">
      <c r="A15042" s="55"/>
      <c r="B15042"/>
    </row>
    <row r="15043" spans="1:2">
      <c r="A15043" s="55"/>
      <c r="B15043"/>
    </row>
    <row r="15044" spans="1:2">
      <c r="A15044" s="55"/>
      <c r="B15044"/>
    </row>
    <row r="15045" spans="1:2">
      <c r="A15045" s="55"/>
      <c r="B15045"/>
    </row>
    <row r="15046" spans="1:2">
      <c r="A15046" s="55"/>
      <c r="B15046"/>
    </row>
    <row r="15047" spans="1:2">
      <c r="A15047" s="55"/>
      <c r="B15047"/>
    </row>
    <row r="15048" spans="1:2">
      <c r="A15048" s="55"/>
      <c r="B15048"/>
    </row>
    <row r="15049" spans="1:2">
      <c r="A15049" s="55"/>
      <c r="B15049"/>
    </row>
    <row r="15050" spans="1:2">
      <c r="A15050" s="55"/>
      <c r="B15050"/>
    </row>
    <row r="15051" spans="1:2">
      <c r="A15051" s="55"/>
      <c r="B15051"/>
    </row>
    <row r="15052" spans="1:2">
      <c r="A15052" s="55"/>
      <c r="B15052"/>
    </row>
    <row r="15053" spans="1:2">
      <c r="A15053" s="55"/>
      <c r="B15053"/>
    </row>
    <row r="15054" spans="1:2">
      <c r="A15054" s="55"/>
      <c r="B15054"/>
    </row>
    <row r="15055" spans="1:2">
      <c r="A15055" s="55"/>
      <c r="B15055"/>
    </row>
    <row r="15056" spans="1:2">
      <c r="A15056" s="55"/>
      <c r="B15056"/>
    </row>
    <row r="15057" spans="1:2">
      <c r="A15057" s="55"/>
      <c r="B15057"/>
    </row>
    <row r="15058" spans="1:2">
      <c r="A15058" s="55"/>
      <c r="B15058"/>
    </row>
    <row r="15059" spans="1:2">
      <c r="A15059" s="55"/>
      <c r="B15059"/>
    </row>
    <row r="15060" spans="1:2">
      <c r="A15060" s="55"/>
      <c r="B15060"/>
    </row>
    <row r="15061" spans="1:2">
      <c r="A15061" s="55"/>
      <c r="B15061"/>
    </row>
    <row r="15062" spans="1:2">
      <c r="A15062" s="55"/>
      <c r="B15062"/>
    </row>
    <row r="15063" spans="1:2">
      <c r="A15063" s="55"/>
      <c r="B15063"/>
    </row>
    <row r="15064" spans="1:2">
      <c r="A15064" s="55"/>
      <c r="B15064"/>
    </row>
    <row r="15065" spans="1:2">
      <c r="A15065" s="55"/>
      <c r="B15065"/>
    </row>
    <row r="15066" spans="1:2">
      <c r="A15066" s="55"/>
      <c r="B15066"/>
    </row>
    <row r="15067" spans="1:2">
      <c r="A15067" s="55"/>
      <c r="B15067"/>
    </row>
    <row r="15068" spans="1:2">
      <c r="A15068" s="55"/>
      <c r="B15068"/>
    </row>
    <row r="15069" spans="1:2">
      <c r="A15069" s="55"/>
      <c r="B15069"/>
    </row>
    <row r="15070" spans="1:2">
      <c r="A15070" s="55"/>
      <c r="B15070"/>
    </row>
    <row r="15071" spans="1:2">
      <c r="A15071" s="55"/>
      <c r="B15071"/>
    </row>
    <row r="15072" spans="1:2">
      <c r="A15072" s="55"/>
      <c r="B15072"/>
    </row>
    <row r="15073" spans="1:2">
      <c r="A15073" s="55"/>
      <c r="B15073"/>
    </row>
    <row r="15074" spans="1:2">
      <c r="A15074" s="55"/>
      <c r="B15074"/>
    </row>
    <row r="15075" spans="1:2">
      <c r="A15075" s="55"/>
      <c r="B15075"/>
    </row>
    <row r="15076" spans="1:2">
      <c r="A15076" s="55"/>
      <c r="B15076"/>
    </row>
    <row r="15077" spans="1:2">
      <c r="A15077" s="55"/>
      <c r="B15077"/>
    </row>
    <row r="15078" spans="1:2">
      <c r="A15078" s="55"/>
      <c r="B15078"/>
    </row>
    <row r="15079" spans="1:2">
      <c r="A15079" s="55"/>
      <c r="B15079"/>
    </row>
    <row r="15080" spans="1:2">
      <c r="A15080" s="55"/>
      <c r="B15080"/>
    </row>
    <row r="15081" spans="1:2">
      <c r="A15081" s="55"/>
      <c r="B15081"/>
    </row>
    <row r="15082" spans="1:2">
      <c r="A15082" s="55"/>
      <c r="B15082"/>
    </row>
    <row r="15083" spans="1:2">
      <c r="A15083" s="55"/>
      <c r="B15083"/>
    </row>
    <row r="15084" spans="1:2">
      <c r="A15084" s="55"/>
      <c r="B15084"/>
    </row>
    <row r="15085" spans="1:2">
      <c r="A15085" s="55"/>
      <c r="B15085"/>
    </row>
    <row r="15086" spans="1:2">
      <c r="A15086" s="55"/>
      <c r="B15086"/>
    </row>
    <row r="15087" spans="1:2">
      <c r="A15087" s="55"/>
      <c r="B15087"/>
    </row>
    <row r="15088" spans="1:2">
      <c r="A15088" s="55"/>
      <c r="B15088"/>
    </row>
    <row r="15089" spans="1:2">
      <c r="A15089" s="55"/>
      <c r="B15089"/>
    </row>
    <row r="15090" spans="1:2">
      <c r="A15090" s="55"/>
      <c r="B15090"/>
    </row>
    <row r="15091" spans="1:2">
      <c r="A15091" s="55"/>
      <c r="B15091"/>
    </row>
    <row r="15092" spans="1:2">
      <c r="A15092" s="55"/>
      <c r="B15092"/>
    </row>
    <row r="15093" spans="1:2">
      <c r="A15093" s="55"/>
      <c r="B15093"/>
    </row>
    <row r="15094" spans="1:2">
      <c r="A15094" s="55"/>
      <c r="B15094"/>
    </row>
    <row r="15095" spans="1:2">
      <c r="A15095" s="55"/>
      <c r="B15095"/>
    </row>
    <row r="15096" spans="1:2">
      <c r="A15096" s="55"/>
      <c r="B15096"/>
    </row>
    <row r="15097" spans="1:2">
      <c r="A15097" s="55"/>
      <c r="B15097"/>
    </row>
    <row r="15098" spans="1:2">
      <c r="A15098" s="55"/>
      <c r="B15098"/>
    </row>
    <row r="15099" spans="1:2">
      <c r="A15099" s="55"/>
      <c r="B15099"/>
    </row>
    <row r="15100" spans="1:2">
      <c r="A15100" s="55"/>
      <c r="B15100"/>
    </row>
    <row r="15101" spans="1:2">
      <c r="A15101" s="55"/>
      <c r="B15101"/>
    </row>
    <row r="15102" spans="1:2">
      <c r="A15102" s="55"/>
      <c r="B15102"/>
    </row>
    <row r="15103" spans="1:2">
      <c r="A15103" s="55"/>
      <c r="B15103"/>
    </row>
    <row r="15104" spans="1:2">
      <c r="A15104" s="55"/>
      <c r="B15104"/>
    </row>
    <row r="15105" spans="1:2">
      <c r="A15105" s="55"/>
      <c r="B15105"/>
    </row>
    <row r="15106" spans="1:2">
      <c r="A15106" s="55"/>
      <c r="B15106"/>
    </row>
    <row r="15107" spans="1:2">
      <c r="A15107" s="55"/>
      <c r="B15107"/>
    </row>
    <row r="15108" spans="1:2">
      <c r="A15108" s="55"/>
      <c r="B15108"/>
    </row>
    <row r="15109" spans="1:2">
      <c r="A15109" s="55"/>
      <c r="B15109"/>
    </row>
    <row r="15110" spans="1:2">
      <c r="A15110" s="55"/>
      <c r="B15110"/>
    </row>
    <row r="15111" spans="1:2">
      <c r="A15111" s="55"/>
      <c r="B15111"/>
    </row>
    <row r="15112" spans="1:2">
      <c r="A15112" s="55"/>
      <c r="B15112"/>
    </row>
    <row r="15113" spans="1:2">
      <c r="A15113" s="55"/>
      <c r="B15113"/>
    </row>
    <row r="15114" spans="1:2">
      <c r="A15114" s="55"/>
      <c r="B15114"/>
    </row>
    <row r="15115" spans="1:2">
      <c r="A15115" s="55"/>
      <c r="B15115"/>
    </row>
    <row r="15116" spans="1:2">
      <c r="A15116" s="55"/>
      <c r="B15116"/>
    </row>
    <row r="15117" spans="1:2">
      <c r="A15117" s="55"/>
      <c r="B15117"/>
    </row>
    <row r="15118" spans="1:2">
      <c r="A15118" s="55"/>
      <c r="B15118"/>
    </row>
    <row r="15119" spans="1:2">
      <c r="A15119" s="55"/>
      <c r="B15119"/>
    </row>
    <row r="15120" spans="1:2">
      <c r="A15120" s="55"/>
      <c r="B15120"/>
    </row>
    <row r="15121" spans="1:2">
      <c r="A15121" s="55"/>
      <c r="B15121"/>
    </row>
    <row r="15122" spans="1:2">
      <c r="A15122" s="55"/>
      <c r="B15122"/>
    </row>
    <row r="15123" spans="1:2">
      <c r="A15123" s="55"/>
      <c r="B15123"/>
    </row>
    <row r="15124" spans="1:2">
      <c r="A15124" s="55"/>
      <c r="B15124"/>
    </row>
    <row r="15125" spans="1:2">
      <c r="A15125" s="55"/>
      <c r="B15125"/>
    </row>
    <row r="15126" spans="1:2">
      <c r="A15126" s="55"/>
      <c r="B15126"/>
    </row>
    <row r="15127" spans="1:2">
      <c r="A15127" s="55"/>
      <c r="B15127"/>
    </row>
    <row r="15128" spans="1:2">
      <c r="A15128" s="55"/>
      <c r="B15128"/>
    </row>
    <row r="15129" spans="1:2">
      <c r="A15129" s="55"/>
      <c r="B15129"/>
    </row>
    <row r="15130" spans="1:2">
      <c r="A15130" s="55"/>
      <c r="B15130"/>
    </row>
    <row r="15131" spans="1:2">
      <c r="A15131" s="55"/>
      <c r="B15131"/>
    </row>
    <row r="15132" spans="1:2">
      <c r="A15132" s="55"/>
      <c r="B15132"/>
    </row>
    <row r="15133" spans="1:2">
      <c r="A15133" s="55"/>
      <c r="B15133"/>
    </row>
    <row r="15134" spans="1:2">
      <c r="A15134" s="55"/>
      <c r="B15134"/>
    </row>
    <row r="15135" spans="1:2">
      <c r="A15135" s="55"/>
      <c r="B15135"/>
    </row>
    <row r="15136" spans="1:2">
      <c r="A15136" s="55"/>
      <c r="B15136"/>
    </row>
    <row r="15137" spans="1:2">
      <c r="A15137" s="55"/>
      <c r="B15137"/>
    </row>
    <row r="15138" spans="1:2">
      <c r="A15138" s="55"/>
      <c r="B15138"/>
    </row>
    <row r="15139" spans="1:2">
      <c r="A15139" s="55"/>
      <c r="B15139"/>
    </row>
    <row r="15140" spans="1:2">
      <c r="A15140" s="55"/>
      <c r="B15140"/>
    </row>
    <row r="15141" spans="1:2">
      <c r="A15141" s="55"/>
      <c r="B15141"/>
    </row>
    <row r="15142" spans="1:2">
      <c r="A15142" s="55"/>
      <c r="B15142"/>
    </row>
    <row r="15143" spans="1:2">
      <c r="A15143" s="55"/>
      <c r="B15143"/>
    </row>
    <row r="15144" spans="1:2">
      <c r="A15144" s="55"/>
      <c r="B15144"/>
    </row>
    <row r="15145" spans="1:2">
      <c r="A15145" s="55"/>
      <c r="B15145"/>
    </row>
    <row r="15146" spans="1:2">
      <c r="A15146" s="55"/>
      <c r="B15146"/>
    </row>
    <row r="15147" spans="1:2">
      <c r="A15147" s="55"/>
      <c r="B15147"/>
    </row>
    <row r="15148" spans="1:2">
      <c r="A15148" s="55"/>
      <c r="B15148"/>
    </row>
    <row r="15149" spans="1:2">
      <c r="A15149" s="55"/>
      <c r="B15149"/>
    </row>
    <row r="15150" spans="1:2">
      <c r="A15150" s="55"/>
      <c r="B15150"/>
    </row>
    <row r="15151" spans="1:2">
      <c r="A15151" s="55"/>
      <c r="B15151"/>
    </row>
    <row r="15152" spans="1:2">
      <c r="A15152" s="55"/>
      <c r="B15152"/>
    </row>
    <row r="15153" spans="1:2">
      <c r="A15153" s="55"/>
      <c r="B15153"/>
    </row>
    <row r="15154" spans="1:2">
      <c r="A15154" s="55"/>
      <c r="B15154"/>
    </row>
    <row r="15155" spans="1:2">
      <c r="A15155" s="55"/>
      <c r="B15155"/>
    </row>
    <row r="15156" spans="1:2">
      <c r="A15156" s="55"/>
      <c r="B15156"/>
    </row>
    <row r="15157" spans="1:2">
      <c r="A15157" s="55"/>
      <c r="B15157"/>
    </row>
    <row r="15158" spans="1:2">
      <c r="A15158" s="55"/>
      <c r="B15158"/>
    </row>
    <row r="15159" spans="1:2">
      <c r="A15159" s="55"/>
      <c r="B15159"/>
    </row>
    <row r="15160" spans="1:2">
      <c r="A15160" s="55"/>
      <c r="B15160"/>
    </row>
    <row r="15161" spans="1:2">
      <c r="A15161" s="55"/>
      <c r="B15161"/>
    </row>
    <row r="15162" spans="1:2">
      <c r="A15162" s="55"/>
      <c r="B15162"/>
    </row>
    <row r="15163" spans="1:2">
      <c r="A15163" s="55"/>
      <c r="B15163"/>
    </row>
    <row r="15164" spans="1:2">
      <c r="A15164" s="55"/>
      <c r="B15164"/>
    </row>
    <row r="15165" spans="1:2">
      <c r="A15165" s="55"/>
      <c r="B15165"/>
    </row>
    <row r="15166" spans="1:2">
      <c r="A15166" s="55"/>
      <c r="B15166"/>
    </row>
    <row r="15167" spans="1:2">
      <c r="A15167" s="55"/>
      <c r="B15167"/>
    </row>
    <row r="15168" spans="1:2">
      <c r="A15168" s="55"/>
      <c r="B15168"/>
    </row>
    <row r="15169" spans="1:2">
      <c r="A15169" s="55"/>
      <c r="B15169"/>
    </row>
    <row r="15170" spans="1:2">
      <c r="A15170" s="55"/>
      <c r="B15170"/>
    </row>
    <row r="15171" spans="1:2">
      <c r="A15171" s="55"/>
      <c r="B15171"/>
    </row>
    <row r="15172" spans="1:2">
      <c r="A15172" s="55"/>
      <c r="B15172"/>
    </row>
    <row r="15173" spans="1:2">
      <c r="A15173" s="55"/>
      <c r="B15173"/>
    </row>
    <row r="15174" spans="1:2">
      <c r="A15174" s="55"/>
      <c r="B15174"/>
    </row>
    <row r="15175" spans="1:2">
      <c r="A15175" s="55"/>
      <c r="B15175"/>
    </row>
    <row r="15176" spans="1:2">
      <c r="A15176" s="55"/>
      <c r="B15176"/>
    </row>
    <row r="15177" spans="1:2">
      <c r="A15177" s="55"/>
      <c r="B15177"/>
    </row>
    <row r="15178" spans="1:2">
      <c r="A15178" s="55"/>
      <c r="B15178"/>
    </row>
    <row r="15179" spans="1:2">
      <c r="A15179" s="55"/>
      <c r="B15179"/>
    </row>
    <row r="15180" spans="1:2">
      <c r="A15180" s="55"/>
      <c r="B15180"/>
    </row>
    <row r="15181" spans="1:2">
      <c r="A15181" s="55"/>
      <c r="B15181"/>
    </row>
    <row r="15182" spans="1:2">
      <c r="A15182" s="55"/>
      <c r="B15182"/>
    </row>
    <row r="15183" spans="1:2">
      <c r="A15183" s="55"/>
      <c r="B15183"/>
    </row>
    <row r="15184" spans="1:2">
      <c r="A15184" s="55"/>
      <c r="B15184"/>
    </row>
    <row r="15185" spans="1:2">
      <c r="A15185" s="55"/>
      <c r="B15185"/>
    </row>
    <row r="15186" spans="1:2">
      <c r="A15186" s="55"/>
      <c r="B15186"/>
    </row>
    <row r="15187" spans="1:2">
      <c r="A15187" s="55"/>
      <c r="B15187"/>
    </row>
    <row r="15188" spans="1:2">
      <c r="A15188" s="55"/>
      <c r="B15188"/>
    </row>
    <row r="15189" spans="1:2">
      <c r="A15189" s="55"/>
      <c r="B15189"/>
    </row>
    <row r="15190" spans="1:2">
      <c r="A15190" s="55"/>
      <c r="B15190"/>
    </row>
    <row r="15191" spans="1:2">
      <c r="A15191" s="55"/>
      <c r="B15191"/>
    </row>
    <row r="15192" spans="1:2">
      <c r="A15192" s="55"/>
      <c r="B15192"/>
    </row>
    <row r="15193" spans="1:2">
      <c r="A15193" s="55"/>
      <c r="B15193"/>
    </row>
    <row r="15194" spans="1:2">
      <c r="A15194" s="55"/>
      <c r="B15194"/>
    </row>
    <row r="15195" spans="1:2">
      <c r="A15195" s="55"/>
      <c r="B15195"/>
    </row>
    <row r="15196" spans="1:2">
      <c r="A15196" s="55"/>
      <c r="B15196"/>
    </row>
    <row r="15197" spans="1:2">
      <c r="A15197" s="55"/>
      <c r="B15197"/>
    </row>
    <row r="15198" spans="1:2">
      <c r="A15198" s="55"/>
      <c r="B15198"/>
    </row>
    <row r="15199" spans="1:2">
      <c r="A15199" s="55"/>
      <c r="B15199"/>
    </row>
    <row r="15200" spans="1:2">
      <c r="A15200" s="55"/>
      <c r="B15200"/>
    </row>
    <row r="15201" spans="1:2">
      <c r="A15201" s="55"/>
      <c r="B15201"/>
    </row>
    <row r="15202" spans="1:2">
      <c r="A15202" s="55"/>
      <c r="B15202"/>
    </row>
    <row r="15203" spans="1:2">
      <c r="A15203" s="55"/>
      <c r="B15203"/>
    </row>
    <row r="15204" spans="1:2">
      <c r="A15204" s="55"/>
      <c r="B15204"/>
    </row>
    <row r="15205" spans="1:2">
      <c r="A15205" s="55"/>
      <c r="B15205"/>
    </row>
    <row r="15206" spans="1:2">
      <c r="A15206" s="55"/>
      <c r="B15206"/>
    </row>
    <row r="15207" spans="1:2">
      <c r="A15207" s="55"/>
      <c r="B15207"/>
    </row>
    <row r="15208" spans="1:2">
      <c r="A15208" s="55"/>
      <c r="B15208"/>
    </row>
    <row r="15209" spans="1:2">
      <c r="A15209" s="55"/>
      <c r="B15209"/>
    </row>
    <row r="15210" spans="1:2">
      <c r="A15210" s="55"/>
      <c r="B15210"/>
    </row>
    <row r="15211" spans="1:2">
      <c r="A15211" s="55"/>
      <c r="B15211"/>
    </row>
    <row r="15212" spans="1:2">
      <c r="A15212" s="55"/>
      <c r="B15212"/>
    </row>
    <row r="15213" spans="1:2">
      <c r="A15213" s="55"/>
      <c r="B15213"/>
    </row>
    <row r="15214" spans="1:2">
      <c r="A15214" s="55"/>
      <c r="B15214"/>
    </row>
    <row r="15215" spans="1:2">
      <c r="A15215" s="55"/>
      <c r="B15215"/>
    </row>
    <row r="15216" spans="1:2">
      <c r="A15216" s="55"/>
      <c r="B15216"/>
    </row>
    <row r="15217" spans="1:2">
      <c r="A15217" s="55"/>
      <c r="B15217"/>
    </row>
    <row r="15218" spans="1:2">
      <c r="A15218" s="55"/>
      <c r="B15218"/>
    </row>
    <row r="15219" spans="1:2">
      <c r="A15219" s="55"/>
      <c r="B15219"/>
    </row>
    <row r="15220" spans="1:2">
      <c r="A15220" s="55"/>
      <c r="B15220"/>
    </row>
    <row r="15221" spans="1:2">
      <c r="A15221" s="55"/>
      <c r="B15221"/>
    </row>
    <row r="15222" spans="1:2">
      <c r="A15222" s="55"/>
      <c r="B15222"/>
    </row>
    <row r="15223" spans="1:2">
      <c r="A15223" s="55"/>
      <c r="B15223"/>
    </row>
    <row r="15224" spans="1:2">
      <c r="A15224" s="55"/>
      <c r="B15224"/>
    </row>
    <row r="15225" spans="1:2">
      <c r="A15225" s="55"/>
      <c r="B15225"/>
    </row>
    <row r="15226" spans="1:2">
      <c r="A15226" s="55"/>
      <c r="B15226"/>
    </row>
    <row r="15227" spans="1:2">
      <c r="A15227" s="55"/>
      <c r="B15227"/>
    </row>
    <row r="15228" spans="1:2">
      <c r="A15228" s="55"/>
      <c r="B15228"/>
    </row>
    <row r="15229" spans="1:2">
      <c r="A15229" s="55"/>
      <c r="B15229"/>
    </row>
    <row r="15230" spans="1:2">
      <c r="A15230" s="55"/>
      <c r="B15230"/>
    </row>
    <row r="15231" spans="1:2">
      <c r="A15231" s="55"/>
      <c r="B15231"/>
    </row>
    <row r="15232" spans="1:2">
      <c r="A15232" s="55"/>
      <c r="B15232"/>
    </row>
    <row r="15233" spans="1:2">
      <c r="A15233" s="55"/>
      <c r="B15233"/>
    </row>
    <row r="15234" spans="1:2">
      <c r="A15234" s="55"/>
      <c r="B15234"/>
    </row>
    <row r="15235" spans="1:2">
      <c r="A15235" s="55"/>
      <c r="B15235"/>
    </row>
    <row r="15236" spans="1:2">
      <c r="A15236" s="55"/>
      <c r="B15236"/>
    </row>
    <row r="15237" spans="1:2">
      <c r="A15237" s="55"/>
      <c r="B15237"/>
    </row>
    <row r="15238" spans="1:2">
      <c r="A15238" s="55"/>
      <c r="B15238"/>
    </row>
    <row r="15239" spans="1:2">
      <c r="A15239" s="55"/>
      <c r="B15239"/>
    </row>
    <row r="15240" spans="1:2">
      <c r="A15240" s="55"/>
      <c r="B15240"/>
    </row>
    <row r="15241" spans="1:2">
      <c r="A15241" s="55"/>
      <c r="B15241"/>
    </row>
    <row r="15242" spans="1:2">
      <c r="A15242" s="55"/>
      <c r="B15242"/>
    </row>
    <row r="15243" spans="1:2">
      <c r="A15243" s="55"/>
      <c r="B15243"/>
    </row>
    <row r="15244" spans="1:2">
      <c r="A15244" s="55"/>
      <c r="B15244"/>
    </row>
    <row r="15245" spans="1:2">
      <c r="A15245" s="55"/>
      <c r="B15245"/>
    </row>
    <row r="15246" spans="1:2">
      <c r="A15246" s="55"/>
      <c r="B15246"/>
    </row>
    <row r="15247" spans="1:2">
      <c r="A15247" s="55"/>
      <c r="B15247"/>
    </row>
    <row r="15248" spans="1:2">
      <c r="A15248" s="55"/>
      <c r="B15248"/>
    </row>
    <row r="15249" spans="1:2">
      <c r="A15249" s="55"/>
      <c r="B15249"/>
    </row>
    <row r="15250" spans="1:2">
      <c r="A15250" s="55"/>
      <c r="B15250"/>
    </row>
    <row r="15251" spans="1:2">
      <c r="A15251" s="55"/>
      <c r="B15251"/>
    </row>
    <row r="15252" spans="1:2">
      <c r="A15252" s="55"/>
      <c r="B15252"/>
    </row>
    <row r="15253" spans="1:2">
      <c r="A15253" s="55"/>
      <c r="B15253"/>
    </row>
    <row r="15254" spans="1:2">
      <c r="A15254" s="55"/>
      <c r="B15254"/>
    </row>
    <row r="15255" spans="1:2">
      <c r="A15255" s="55"/>
      <c r="B15255"/>
    </row>
    <row r="15256" spans="1:2">
      <c r="A15256" s="55"/>
      <c r="B15256"/>
    </row>
    <row r="15257" spans="1:2">
      <c r="A15257" s="55"/>
      <c r="B15257"/>
    </row>
    <row r="15258" spans="1:2">
      <c r="A15258" s="55"/>
      <c r="B15258"/>
    </row>
    <row r="15259" spans="1:2">
      <c r="A15259" s="55"/>
      <c r="B15259"/>
    </row>
    <row r="15260" spans="1:2">
      <c r="A15260" s="55"/>
      <c r="B15260"/>
    </row>
    <row r="15261" spans="1:2">
      <c r="A15261" s="55"/>
      <c r="B15261"/>
    </row>
    <row r="15262" spans="1:2">
      <c r="A15262" s="55"/>
      <c r="B15262"/>
    </row>
    <row r="15263" spans="1:2">
      <c r="A15263" s="55"/>
      <c r="B15263"/>
    </row>
    <row r="15264" spans="1:2">
      <c r="A15264" s="55"/>
      <c r="B15264"/>
    </row>
    <row r="15265" spans="1:2">
      <c r="A15265" s="55"/>
      <c r="B15265"/>
    </row>
    <row r="15266" spans="1:2">
      <c r="A15266" s="55"/>
      <c r="B15266"/>
    </row>
    <row r="15267" spans="1:2">
      <c r="A15267" s="55"/>
      <c r="B15267"/>
    </row>
    <row r="15268" spans="1:2">
      <c r="A15268" s="55"/>
      <c r="B15268"/>
    </row>
    <row r="15269" spans="1:2">
      <c r="A15269" s="55"/>
      <c r="B15269"/>
    </row>
    <row r="15270" spans="1:2">
      <c r="A15270" s="55"/>
      <c r="B15270"/>
    </row>
    <row r="15271" spans="1:2">
      <c r="A15271" s="55"/>
      <c r="B15271"/>
    </row>
    <row r="15272" spans="1:2">
      <c r="A15272" s="55"/>
      <c r="B15272"/>
    </row>
    <row r="15273" spans="1:2">
      <c r="A15273" s="55"/>
      <c r="B15273"/>
    </row>
    <row r="15274" spans="1:2">
      <c r="A15274" s="55"/>
      <c r="B15274"/>
    </row>
    <row r="15275" spans="1:2">
      <c r="A15275" s="55"/>
      <c r="B15275"/>
    </row>
    <row r="15276" spans="1:2">
      <c r="A15276" s="55"/>
      <c r="B15276"/>
    </row>
    <row r="15277" spans="1:2">
      <c r="A15277" s="55"/>
      <c r="B15277"/>
    </row>
    <row r="15278" spans="1:2">
      <c r="A15278" s="55"/>
      <c r="B15278"/>
    </row>
    <row r="15279" spans="1:2">
      <c r="A15279" s="55"/>
      <c r="B15279"/>
    </row>
    <row r="15280" spans="1:2">
      <c r="A15280" s="55"/>
      <c r="B15280"/>
    </row>
    <row r="15281" spans="1:2">
      <c r="A15281" s="55"/>
      <c r="B15281"/>
    </row>
    <row r="15282" spans="1:2">
      <c r="A15282" s="55"/>
      <c r="B15282"/>
    </row>
    <row r="15283" spans="1:2">
      <c r="A15283" s="55"/>
      <c r="B15283"/>
    </row>
    <row r="15284" spans="1:2">
      <c r="A15284" s="55"/>
      <c r="B15284"/>
    </row>
    <row r="15285" spans="1:2">
      <c r="A15285" s="55"/>
      <c r="B15285"/>
    </row>
    <row r="15286" spans="1:2">
      <c r="A15286" s="55"/>
      <c r="B15286"/>
    </row>
    <row r="15287" spans="1:2">
      <c r="A15287" s="55"/>
      <c r="B15287"/>
    </row>
    <row r="15288" spans="1:2">
      <c r="A15288" s="55"/>
      <c r="B15288"/>
    </row>
    <row r="15289" spans="1:2">
      <c r="A15289" s="55"/>
      <c r="B15289"/>
    </row>
    <row r="15290" spans="1:2">
      <c r="A15290" s="55"/>
      <c r="B15290"/>
    </row>
    <row r="15291" spans="1:2">
      <c r="A15291" s="55"/>
      <c r="B15291"/>
    </row>
    <row r="15292" spans="1:2">
      <c r="A15292" s="55"/>
      <c r="B15292"/>
    </row>
    <row r="15293" spans="1:2">
      <c r="A15293" s="55"/>
      <c r="B15293"/>
    </row>
    <row r="15294" spans="1:2">
      <c r="A15294" s="55"/>
      <c r="B15294"/>
    </row>
    <row r="15295" spans="1:2">
      <c r="A15295" s="55"/>
      <c r="B15295"/>
    </row>
    <row r="15296" spans="1:2">
      <c r="A15296" s="55"/>
      <c r="B15296"/>
    </row>
    <row r="15297" spans="1:2">
      <c r="A15297" s="55"/>
      <c r="B15297"/>
    </row>
    <row r="15298" spans="1:2">
      <c r="A15298" s="55"/>
      <c r="B15298"/>
    </row>
    <row r="15299" spans="1:2">
      <c r="A15299" s="55"/>
      <c r="B15299"/>
    </row>
    <row r="15300" spans="1:2">
      <c r="A15300" s="55"/>
      <c r="B15300"/>
    </row>
    <row r="15301" spans="1:2">
      <c r="A15301" s="55"/>
      <c r="B15301"/>
    </row>
    <row r="15302" spans="1:2">
      <c r="A15302" s="55"/>
      <c r="B15302"/>
    </row>
    <row r="15303" spans="1:2">
      <c r="A15303" s="55"/>
      <c r="B15303"/>
    </row>
    <row r="15304" spans="1:2">
      <c r="A15304" s="55"/>
      <c r="B15304"/>
    </row>
    <row r="15305" spans="1:2">
      <c r="A15305" s="55"/>
      <c r="B15305"/>
    </row>
    <row r="15306" spans="1:2">
      <c r="A15306" s="55"/>
      <c r="B15306"/>
    </row>
    <row r="15307" spans="1:2">
      <c r="A15307" s="55"/>
      <c r="B15307"/>
    </row>
    <row r="15308" spans="1:2">
      <c r="A15308" s="55"/>
      <c r="B15308"/>
    </row>
    <row r="15309" spans="1:2">
      <c r="A15309" s="55"/>
      <c r="B15309"/>
    </row>
    <row r="15310" spans="1:2">
      <c r="A15310" s="55"/>
      <c r="B15310"/>
    </row>
    <row r="15311" spans="1:2">
      <c r="A15311" s="55"/>
      <c r="B15311"/>
    </row>
    <row r="15312" spans="1:2">
      <c r="A15312" s="55"/>
      <c r="B15312"/>
    </row>
    <row r="15313" spans="1:2">
      <c r="A15313" s="55"/>
      <c r="B15313"/>
    </row>
    <row r="15314" spans="1:2">
      <c r="A15314" s="55"/>
      <c r="B15314"/>
    </row>
    <row r="15315" spans="1:2">
      <c r="A15315" s="55"/>
      <c r="B15315"/>
    </row>
    <row r="15316" spans="1:2">
      <c r="A15316" s="55"/>
      <c r="B15316"/>
    </row>
    <row r="15317" spans="1:2">
      <c r="A15317" s="55"/>
      <c r="B15317"/>
    </row>
    <row r="15318" spans="1:2">
      <c r="A15318" s="55"/>
      <c r="B15318"/>
    </row>
    <row r="15319" spans="1:2">
      <c r="A15319" s="55"/>
      <c r="B15319"/>
    </row>
    <row r="15320" spans="1:2">
      <c r="A15320" s="55"/>
      <c r="B15320"/>
    </row>
    <row r="15321" spans="1:2">
      <c r="A15321" s="55"/>
      <c r="B15321"/>
    </row>
    <row r="15322" spans="1:2">
      <c r="A15322" s="55"/>
      <c r="B15322"/>
    </row>
    <row r="15323" spans="1:2">
      <c r="A15323" s="55"/>
      <c r="B15323"/>
    </row>
    <row r="15324" spans="1:2">
      <c r="A15324" s="55"/>
      <c r="B15324"/>
    </row>
    <row r="15325" spans="1:2">
      <c r="A15325" s="55"/>
      <c r="B15325"/>
    </row>
    <row r="15326" spans="1:2">
      <c r="A15326" s="55"/>
      <c r="B15326"/>
    </row>
    <row r="15327" spans="1:2">
      <c r="A15327" s="55"/>
      <c r="B15327"/>
    </row>
    <row r="15328" spans="1:2">
      <c r="A15328" s="55"/>
      <c r="B15328"/>
    </row>
    <row r="15329" spans="1:2">
      <c r="A15329" s="55"/>
      <c r="B15329"/>
    </row>
    <row r="15330" spans="1:2">
      <c r="A15330" s="55"/>
      <c r="B15330"/>
    </row>
    <row r="15331" spans="1:2">
      <c r="A15331" s="55"/>
      <c r="B15331"/>
    </row>
    <row r="15332" spans="1:2">
      <c r="A15332" s="55"/>
      <c r="B15332"/>
    </row>
    <row r="15333" spans="1:2">
      <c r="A15333" s="55"/>
      <c r="B15333"/>
    </row>
    <row r="15334" spans="1:2">
      <c r="A15334" s="55"/>
      <c r="B15334"/>
    </row>
    <row r="15335" spans="1:2">
      <c r="A15335" s="55"/>
      <c r="B15335"/>
    </row>
    <row r="15336" spans="1:2">
      <c r="A15336" s="55"/>
      <c r="B15336"/>
    </row>
    <row r="15337" spans="1:2">
      <c r="A15337" s="55"/>
      <c r="B15337"/>
    </row>
    <row r="15338" spans="1:2">
      <c r="A15338" s="55"/>
      <c r="B15338"/>
    </row>
    <row r="15339" spans="1:2">
      <c r="A15339" s="55"/>
      <c r="B15339"/>
    </row>
    <row r="15340" spans="1:2">
      <c r="A15340" s="55"/>
      <c r="B15340"/>
    </row>
    <row r="15341" spans="1:2">
      <c r="A15341" s="55"/>
      <c r="B15341"/>
    </row>
    <row r="15342" spans="1:2">
      <c r="A15342" s="55"/>
      <c r="B15342"/>
    </row>
    <row r="15343" spans="1:2">
      <c r="A15343" s="55"/>
      <c r="B15343"/>
    </row>
    <row r="15344" spans="1:2">
      <c r="A15344" s="55"/>
      <c r="B15344"/>
    </row>
    <row r="15345" spans="1:2">
      <c r="A15345" s="55"/>
      <c r="B15345"/>
    </row>
    <row r="15346" spans="1:2">
      <c r="A15346" s="55"/>
      <c r="B15346"/>
    </row>
    <row r="15347" spans="1:2">
      <c r="A15347" s="55"/>
      <c r="B15347"/>
    </row>
    <row r="15348" spans="1:2">
      <c r="A15348" s="55"/>
      <c r="B15348"/>
    </row>
    <row r="15349" spans="1:2">
      <c r="A15349" s="55"/>
      <c r="B15349"/>
    </row>
    <row r="15350" spans="1:2">
      <c r="A15350" s="55"/>
      <c r="B15350"/>
    </row>
    <row r="15351" spans="1:2">
      <c r="A15351" s="55"/>
      <c r="B15351"/>
    </row>
    <row r="15352" spans="1:2">
      <c r="A15352" s="55"/>
      <c r="B15352"/>
    </row>
    <row r="15353" spans="1:2">
      <c r="A15353" s="55"/>
      <c r="B15353"/>
    </row>
    <row r="15354" spans="1:2">
      <c r="A15354" s="55"/>
      <c r="B15354"/>
    </row>
    <row r="15355" spans="1:2">
      <c r="A15355" s="55"/>
      <c r="B15355"/>
    </row>
    <row r="15356" spans="1:2">
      <c r="A15356" s="55"/>
      <c r="B15356"/>
    </row>
    <row r="15357" spans="1:2">
      <c r="A15357" s="55"/>
      <c r="B15357"/>
    </row>
    <row r="15358" spans="1:2">
      <c r="A15358" s="55"/>
      <c r="B15358"/>
    </row>
    <row r="15359" spans="1:2">
      <c r="A15359" s="55"/>
      <c r="B15359"/>
    </row>
    <row r="15360" spans="1:2">
      <c r="A15360" s="55"/>
      <c r="B15360"/>
    </row>
    <row r="15361" spans="1:2">
      <c r="A15361" s="55"/>
      <c r="B15361"/>
    </row>
    <row r="15362" spans="1:2">
      <c r="A15362" s="55"/>
      <c r="B15362"/>
    </row>
    <row r="15363" spans="1:2">
      <c r="A15363" s="55"/>
      <c r="B15363"/>
    </row>
    <row r="15364" spans="1:2">
      <c r="A15364" s="55"/>
      <c r="B15364"/>
    </row>
    <row r="15365" spans="1:2">
      <c r="A15365" s="55"/>
      <c r="B15365"/>
    </row>
    <row r="15366" spans="1:2">
      <c r="A15366" s="55"/>
      <c r="B15366"/>
    </row>
    <row r="15367" spans="1:2">
      <c r="A15367" s="55"/>
      <c r="B15367"/>
    </row>
    <row r="15368" spans="1:2">
      <c r="A15368" s="55"/>
      <c r="B15368"/>
    </row>
    <row r="15369" spans="1:2">
      <c r="A15369" s="55"/>
      <c r="B15369"/>
    </row>
    <row r="15370" spans="1:2">
      <c r="A15370" s="55"/>
      <c r="B15370"/>
    </row>
    <row r="15371" spans="1:2">
      <c r="A15371" s="55"/>
      <c r="B15371"/>
    </row>
    <row r="15372" spans="1:2">
      <c r="A15372" s="55"/>
      <c r="B15372"/>
    </row>
    <row r="15373" spans="1:2">
      <c r="A15373" s="55"/>
      <c r="B15373"/>
    </row>
    <row r="15374" spans="1:2">
      <c r="A15374" s="55"/>
      <c r="B15374"/>
    </row>
    <row r="15375" spans="1:2">
      <c r="A15375" s="55"/>
      <c r="B15375"/>
    </row>
    <row r="15376" spans="1:2">
      <c r="A15376" s="55"/>
      <c r="B15376"/>
    </row>
    <row r="15377" spans="1:2">
      <c r="A15377" s="55"/>
      <c r="B15377"/>
    </row>
    <row r="15378" spans="1:2">
      <c r="A15378" s="55"/>
      <c r="B15378"/>
    </row>
    <row r="15379" spans="1:2">
      <c r="A15379" s="55"/>
      <c r="B15379"/>
    </row>
    <row r="15380" spans="1:2">
      <c r="A15380" s="55"/>
      <c r="B15380"/>
    </row>
    <row r="15381" spans="1:2">
      <c r="A15381" s="55"/>
      <c r="B15381"/>
    </row>
    <row r="15382" spans="1:2">
      <c r="A15382" s="55"/>
      <c r="B15382"/>
    </row>
    <row r="15383" spans="1:2">
      <c r="A15383" s="55"/>
      <c r="B15383"/>
    </row>
    <row r="15384" spans="1:2">
      <c r="A15384" s="55"/>
      <c r="B15384"/>
    </row>
    <row r="15385" spans="1:2">
      <c r="A15385" s="55"/>
      <c r="B15385"/>
    </row>
    <row r="15386" spans="1:2">
      <c r="A15386" s="55"/>
      <c r="B15386"/>
    </row>
    <row r="15387" spans="1:2">
      <c r="A15387" s="55"/>
      <c r="B15387"/>
    </row>
    <row r="15388" spans="1:2">
      <c r="A15388" s="55"/>
      <c r="B15388"/>
    </row>
    <row r="15389" spans="1:2">
      <c r="A15389" s="55"/>
      <c r="B15389"/>
    </row>
    <row r="15390" spans="1:2">
      <c r="A15390" s="55"/>
      <c r="B15390"/>
    </row>
    <row r="15391" spans="1:2">
      <c r="A15391" s="55"/>
      <c r="B15391"/>
    </row>
    <row r="15392" spans="1:2">
      <c r="A15392" s="55"/>
      <c r="B15392"/>
    </row>
    <row r="15393" spans="1:2">
      <c r="A15393" s="55"/>
      <c r="B15393"/>
    </row>
    <row r="15394" spans="1:2">
      <c r="A15394" s="55"/>
      <c r="B15394"/>
    </row>
    <row r="15395" spans="1:2">
      <c r="A15395" s="55"/>
      <c r="B15395"/>
    </row>
    <row r="15396" spans="1:2">
      <c r="A15396" s="55"/>
      <c r="B15396"/>
    </row>
    <row r="15397" spans="1:2">
      <c r="A15397" s="55"/>
      <c r="B15397"/>
    </row>
    <row r="15398" spans="1:2">
      <c r="A15398" s="55"/>
      <c r="B15398"/>
    </row>
    <row r="15399" spans="1:2">
      <c r="A15399" s="55"/>
      <c r="B15399"/>
    </row>
    <row r="15400" spans="1:2">
      <c r="A15400" s="55"/>
      <c r="B15400"/>
    </row>
    <row r="15401" spans="1:2">
      <c r="A15401" s="55"/>
      <c r="B15401"/>
    </row>
    <row r="15402" spans="1:2">
      <c r="A15402" s="55"/>
      <c r="B15402"/>
    </row>
    <row r="15403" spans="1:2">
      <c r="A15403" s="55"/>
      <c r="B15403"/>
    </row>
    <row r="15404" spans="1:2">
      <c r="A15404" s="55"/>
      <c r="B15404"/>
    </row>
    <row r="15405" spans="1:2">
      <c r="A15405" s="55"/>
      <c r="B15405"/>
    </row>
    <row r="15406" spans="1:2">
      <c r="A15406" s="55"/>
      <c r="B15406"/>
    </row>
    <row r="15407" spans="1:2">
      <c r="A15407" s="55"/>
      <c r="B15407"/>
    </row>
    <row r="15408" spans="1:2">
      <c r="A15408" s="55"/>
      <c r="B15408"/>
    </row>
    <row r="15409" spans="1:2">
      <c r="A15409" s="55"/>
      <c r="B15409"/>
    </row>
    <row r="15410" spans="1:2">
      <c r="A15410" s="55"/>
      <c r="B15410"/>
    </row>
    <row r="15411" spans="1:2">
      <c r="A15411" s="55"/>
      <c r="B15411"/>
    </row>
    <row r="15412" spans="1:2">
      <c r="A15412" s="55"/>
      <c r="B15412"/>
    </row>
    <row r="15413" spans="1:2">
      <c r="A15413" s="55"/>
      <c r="B15413"/>
    </row>
    <row r="15414" spans="1:2">
      <c r="A15414" s="55"/>
      <c r="B15414"/>
    </row>
    <row r="15415" spans="1:2">
      <c r="A15415" s="55"/>
      <c r="B15415"/>
    </row>
    <row r="15416" spans="1:2">
      <c r="A15416" s="55"/>
      <c r="B15416"/>
    </row>
    <row r="15417" spans="1:2">
      <c r="A15417" s="55"/>
      <c r="B15417"/>
    </row>
    <row r="15418" spans="1:2">
      <c r="A15418" s="55"/>
      <c r="B15418"/>
    </row>
    <row r="15419" spans="1:2">
      <c r="A15419" s="55"/>
      <c r="B15419"/>
    </row>
    <row r="15420" spans="1:2">
      <c r="A15420" s="55"/>
      <c r="B15420"/>
    </row>
    <row r="15421" spans="1:2">
      <c r="A15421" s="55"/>
      <c r="B15421"/>
    </row>
    <row r="15422" spans="1:2">
      <c r="A15422" s="55"/>
      <c r="B15422"/>
    </row>
    <row r="15423" spans="1:2">
      <c r="A15423" s="55"/>
      <c r="B15423"/>
    </row>
    <row r="15424" spans="1:2">
      <c r="A15424" s="55"/>
      <c r="B15424"/>
    </row>
    <row r="15425" spans="1:2">
      <c r="A15425" s="55"/>
      <c r="B15425"/>
    </row>
    <row r="15426" spans="1:2">
      <c r="A15426" s="55"/>
      <c r="B15426"/>
    </row>
    <row r="15427" spans="1:2">
      <c r="A15427" s="55"/>
      <c r="B15427"/>
    </row>
    <row r="15428" spans="1:2">
      <c r="A15428" s="55"/>
      <c r="B15428"/>
    </row>
    <row r="15429" spans="1:2">
      <c r="A15429" s="55"/>
      <c r="B15429"/>
    </row>
    <row r="15430" spans="1:2">
      <c r="A15430" s="55"/>
      <c r="B15430"/>
    </row>
    <row r="15431" spans="1:2">
      <c r="A15431" s="55"/>
      <c r="B15431"/>
    </row>
    <row r="15432" spans="1:2">
      <c r="A15432" s="55"/>
      <c r="B15432"/>
    </row>
    <row r="15433" spans="1:2">
      <c r="A15433" s="55"/>
      <c r="B15433"/>
    </row>
    <row r="15434" spans="1:2">
      <c r="A15434" s="55"/>
      <c r="B15434"/>
    </row>
    <row r="15435" spans="1:2">
      <c r="A15435" s="55"/>
      <c r="B15435"/>
    </row>
    <row r="15436" spans="1:2">
      <c r="A15436" s="55"/>
      <c r="B15436"/>
    </row>
    <row r="15437" spans="1:2">
      <c r="A15437" s="55"/>
      <c r="B15437"/>
    </row>
    <row r="15438" spans="1:2">
      <c r="A15438" s="55"/>
      <c r="B15438"/>
    </row>
    <row r="15439" spans="1:2">
      <c r="A15439" s="55"/>
      <c r="B15439"/>
    </row>
    <row r="15440" spans="1:2">
      <c r="A15440" s="55"/>
      <c r="B15440"/>
    </row>
    <row r="15441" spans="1:2">
      <c r="A15441" s="55"/>
      <c r="B15441"/>
    </row>
    <row r="15442" spans="1:2">
      <c r="A15442" s="55"/>
      <c r="B15442"/>
    </row>
    <row r="15443" spans="1:2">
      <c r="A15443" s="55"/>
      <c r="B15443"/>
    </row>
    <row r="15444" spans="1:2">
      <c r="A15444" s="55"/>
      <c r="B15444"/>
    </row>
    <row r="15445" spans="1:2">
      <c r="A15445" s="55"/>
      <c r="B15445"/>
    </row>
    <row r="15446" spans="1:2">
      <c r="A15446" s="55"/>
      <c r="B15446"/>
    </row>
    <row r="15447" spans="1:2">
      <c r="A15447" s="55"/>
      <c r="B15447"/>
    </row>
    <row r="15448" spans="1:2">
      <c r="A15448" s="55"/>
      <c r="B15448"/>
    </row>
    <row r="15449" spans="1:2">
      <c r="A15449" s="55"/>
      <c r="B15449"/>
    </row>
    <row r="15450" spans="1:2">
      <c r="A15450" s="55"/>
      <c r="B15450"/>
    </row>
    <row r="15451" spans="1:2">
      <c r="A15451" s="55"/>
      <c r="B15451"/>
    </row>
    <row r="15452" spans="1:2">
      <c r="A15452" s="55"/>
      <c r="B15452"/>
    </row>
    <row r="15453" spans="1:2">
      <c r="A15453" s="55"/>
      <c r="B15453"/>
    </row>
    <row r="15454" spans="1:2">
      <c r="A15454" s="55"/>
      <c r="B15454"/>
    </row>
    <row r="15455" spans="1:2">
      <c r="A15455" s="55"/>
      <c r="B15455"/>
    </row>
    <row r="15456" spans="1:2">
      <c r="A15456" s="55"/>
      <c r="B15456"/>
    </row>
    <row r="15457" spans="1:2">
      <c r="A15457" s="55"/>
      <c r="B15457"/>
    </row>
    <row r="15458" spans="1:2">
      <c r="A15458" s="55"/>
      <c r="B15458"/>
    </row>
    <row r="15459" spans="1:2">
      <c r="A15459" s="55"/>
      <c r="B15459"/>
    </row>
    <row r="15460" spans="1:2">
      <c r="A15460" s="55"/>
      <c r="B15460"/>
    </row>
    <row r="15461" spans="1:2">
      <c r="A15461" s="55"/>
      <c r="B15461"/>
    </row>
    <row r="15462" spans="1:2">
      <c r="A15462" s="55"/>
      <c r="B15462"/>
    </row>
    <row r="15463" spans="1:2">
      <c r="A15463" s="55"/>
      <c r="B15463"/>
    </row>
    <row r="15464" spans="1:2">
      <c r="A15464" s="55"/>
      <c r="B15464"/>
    </row>
    <row r="15465" spans="1:2">
      <c r="A15465" s="55"/>
      <c r="B15465"/>
    </row>
    <row r="15466" spans="1:2">
      <c r="A15466" s="55"/>
      <c r="B15466"/>
    </row>
    <row r="15467" spans="1:2">
      <c r="A15467" s="55"/>
      <c r="B15467"/>
    </row>
    <row r="15468" spans="1:2">
      <c r="A15468" s="55"/>
      <c r="B15468"/>
    </row>
    <row r="15469" spans="1:2">
      <c r="A15469" s="55"/>
      <c r="B15469"/>
    </row>
    <row r="15470" spans="1:2">
      <c r="A15470" s="55"/>
      <c r="B15470"/>
    </row>
    <row r="15471" spans="1:2">
      <c r="A15471" s="55"/>
      <c r="B15471"/>
    </row>
    <row r="15472" spans="1:2">
      <c r="A15472" s="55"/>
      <c r="B15472"/>
    </row>
    <row r="15473" spans="1:2">
      <c r="A15473" s="55"/>
      <c r="B15473"/>
    </row>
    <row r="15474" spans="1:2">
      <c r="A15474" s="55"/>
      <c r="B15474"/>
    </row>
    <row r="15475" spans="1:2">
      <c r="A15475" s="55"/>
      <c r="B15475"/>
    </row>
    <row r="15476" spans="1:2">
      <c r="A15476" s="55"/>
      <c r="B15476"/>
    </row>
    <row r="15477" spans="1:2">
      <c r="A15477" s="55"/>
      <c r="B15477"/>
    </row>
    <row r="15478" spans="1:2">
      <c r="A15478" s="55"/>
      <c r="B15478"/>
    </row>
    <row r="15479" spans="1:2">
      <c r="A15479" s="55"/>
      <c r="B15479"/>
    </row>
    <row r="15480" spans="1:2">
      <c r="A15480" s="55"/>
      <c r="B15480"/>
    </row>
    <row r="15481" spans="1:2">
      <c r="A15481" s="55"/>
      <c r="B15481"/>
    </row>
    <row r="15482" spans="1:2">
      <c r="A15482" s="55"/>
      <c r="B15482"/>
    </row>
    <row r="15483" spans="1:2">
      <c r="A15483" s="55"/>
      <c r="B15483"/>
    </row>
    <row r="15484" spans="1:2">
      <c r="A15484" s="55"/>
      <c r="B15484"/>
    </row>
    <row r="15485" spans="1:2">
      <c r="A15485" s="55"/>
      <c r="B15485"/>
    </row>
    <row r="15486" spans="1:2">
      <c r="A15486" s="55"/>
      <c r="B15486"/>
    </row>
    <row r="15487" spans="1:2">
      <c r="A15487" s="55"/>
      <c r="B15487"/>
    </row>
    <row r="15488" spans="1:2">
      <c r="A15488" s="55"/>
      <c r="B15488"/>
    </row>
    <row r="15489" spans="1:2">
      <c r="A15489" s="55"/>
      <c r="B15489"/>
    </row>
    <row r="15490" spans="1:2">
      <c r="A15490" s="55"/>
      <c r="B15490"/>
    </row>
    <row r="15491" spans="1:2">
      <c r="A15491" s="55"/>
      <c r="B15491"/>
    </row>
    <row r="15492" spans="1:2">
      <c r="A15492" s="55"/>
      <c r="B15492"/>
    </row>
    <row r="15493" spans="1:2">
      <c r="A15493" s="55"/>
      <c r="B15493"/>
    </row>
    <row r="15494" spans="1:2">
      <c r="A15494" s="55"/>
      <c r="B15494"/>
    </row>
    <row r="15495" spans="1:2">
      <c r="A15495" s="55"/>
      <c r="B15495"/>
    </row>
    <row r="15496" spans="1:2">
      <c r="A15496" s="55"/>
      <c r="B15496"/>
    </row>
    <row r="15497" spans="1:2">
      <c r="A15497" s="55"/>
      <c r="B15497"/>
    </row>
    <row r="15498" spans="1:2">
      <c r="A15498" s="55"/>
      <c r="B15498"/>
    </row>
    <row r="15499" spans="1:2">
      <c r="A15499" s="55"/>
      <c r="B15499"/>
    </row>
    <row r="15500" spans="1:2">
      <c r="A15500" s="55"/>
      <c r="B15500"/>
    </row>
    <row r="15501" spans="1:2">
      <c r="A15501" s="55"/>
      <c r="B15501"/>
    </row>
    <row r="15502" spans="1:2">
      <c r="A15502" s="55"/>
      <c r="B15502"/>
    </row>
    <row r="15503" spans="1:2">
      <c r="A15503" s="55"/>
      <c r="B15503"/>
    </row>
    <row r="15504" spans="1:2">
      <c r="A15504" s="55"/>
      <c r="B15504"/>
    </row>
    <row r="15505" spans="1:2">
      <c r="A15505" s="55"/>
      <c r="B15505"/>
    </row>
    <row r="15506" spans="1:2">
      <c r="A15506" s="55"/>
      <c r="B15506"/>
    </row>
    <row r="15507" spans="1:2">
      <c r="A15507" s="55"/>
      <c r="B15507"/>
    </row>
    <row r="15508" spans="1:2">
      <c r="A15508" s="55"/>
      <c r="B15508"/>
    </row>
    <row r="15509" spans="1:2">
      <c r="A15509" s="55"/>
      <c r="B15509"/>
    </row>
    <row r="15510" spans="1:2">
      <c r="A15510" s="55"/>
      <c r="B15510"/>
    </row>
    <row r="15511" spans="1:2">
      <c r="A15511" s="55"/>
      <c r="B15511"/>
    </row>
    <row r="15512" spans="1:2">
      <c r="A15512" s="55"/>
      <c r="B15512"/>
    </row>
    <row r="15513" spans="1:2">
      <c r="A15513" s="55"/>
      <c r="B15513"/>
    </row>
    <row r="15514" spans="1:2">
      <c r="A15514" s="55"/>
      <c r="B15514"/>
    </row>
    <row r="15515" spans="1:2">
      <c r="A15515" s="55"/>
      <c r="B15515"/>
    </row>
    <row r="15516" spans="1:2">
      <c r="A15516" s="55"/>
      <c r="B15516"/>
    </row>
    <row r="15517" spans="1:2">
      <c r="A15517" s="55"/>
      <c r="B15517"/>
    </row>
    <row r="15518" spans="1:2">
      <c r="A15518" s="55"/>
      <c r="B15518"/>
    </row>
    <row r="15519" spans="1:2">
      <c r="A15519" s="55"/>
      <c r="B15519"/>
    </row>
    <row r="15520" spans="1:2">
      <c r="A15520" s="55"/>
      <c r="B15520"/>
    </row>
    <row r="15521" spans="1:2">
      <c r="A15521" s="55"/>
      <c r="B15521"/>
    </row>
    <row r="15522" spans="1:2">
      <c r="A15522" s="55"/>
      <c r="B15522"/>
    </row>
    <row r="15523" spans="1:2">
      <c r="A15523" s="55"/>
      <c r="B15523"/>
    </row>
    <row r="15524" spans="1:2">
      <c r="A15524" s="55"/>
      <c r="B15524"/>
    </row>
    <row r="15525" spans="1:2">
      <c r="A15525" s="55"/>
      <c r="B15525"/>
    </row>
    <row r="15526" spans="1:2">
      <c r="A15526" s="55"/>
      <c r="B15526"/>
    </row>
    <row r="15527" spans="1:2">
      <c r="A15527" s="55"/>
      <c r="B15527"/>
    </row>
    <row r="15528" spans="1:2">
      <c r="A15528" s="55"/>
      <c r="B15528"/>
    </row>
    <row r="15529" spans="1:2">
      <c r="A15529" s="55"/>
      <c r="B15529"/>
    </row>
    <row r="15530" spans="1:2">
      <c r="A15530" s="55"/>
      <c r="B15530"/>
    </row>
    <row r="15531" spans="1:2">
      <c r="A15531" s="55"/>
      <c r="B15531"/>
    </row>
    <row r="15532" spans="1:2">
      <c r="A15532" s="55"/>
      <c r="B15532"/>
    </row>
    <row r="15533" spans="1:2">
      <c r="A15533" s="55"/>
      <c r="B15533"/>
    </row>
    <row r="15534" spans="1:2">
      <c r="A15534" s="55"/>
      <c r="B15534"/>
    </row>
    <row r="15535" spans="1:2">
      <c r="A15535" s="55"/>
      <c r="B15535"/>
    </row>
    <row r="15536" spans="1:2">
      <c r="A15536" s="55"/>
      <c r="B15536"/>
    </row>
    <row r="15537" spans="1:2">
      <c r="A15537" s="55"/>
      <c r="B15537"/>
    </row>
    <row r="15538" spans="1:2">
      <c r="A15538" s="55"/>
      <c r="B15538"/>
    </row>
    <row r="15539" spans="1:2">
      <c r="A15539" s="55"/>
      <c r="B15539"/>
    </row>
    <row r="15540" spans="1:2">
      <c r="A15540" s="55"/>
      <c r="B15540"/>
    </row>
    <row r="15541" spans="1:2">
      <c r="A15541" s="55"/>
      <c r="B15541"/>
    </row>
    <row r="15542" spans="1:2">
      <c r="A15542" s="55"/>
      <c r="B15542"/>
    </row>
    <row r="15543" spans="1:2">
      <c r="A15543" s="55"/>
      <c r="B15543"/>
    </row>
    <row r="15544" spans="1:2">
      <c r="A15544" s="55"/>
      <c r="B15544"/>
    </row>
    <row r="15545" spans="1:2">
      <c r="A15545" s="55"/>
      <c r="B15545"/>
    </row>
    <row r="15546" spans="1:2">
      <c r="A15546" s="55"/>
      <c r="B15546"/>
    </row>
    <row r="15547" spans="1:2">
      <c r="A15547" s="55"/>
      <c r="B15547"/>
    </row>
    <row r="15548" spans="1:2">
      <c r="A15548" s="55"/>
      <c r="B15548"/>
    </row>
    <row r="15549" spans="1:2">
      <c r="A15549" s="55"/>
      <c r="B15549"/>
    </row>
    <row r="15550" spans="1:2">
      <c r="A15550" s="55"/>
      <c r="B15550"/>
    </row>
    <row r="15551" spans="1:2">
      <c r="A15551" s="55"/>
      <c r="B15551"/>
    </row>
    <row r="15552" spans="1:2">
      <c r="A15552" s="55"/>
      <c r="B15552"/>
    </row>
    <row r="15553" spans="1:2">
      <c r="A15553" s="55"/>
      <c r="B15553"/>
    </row>
    <row r="15554" spans="1:2">
      <c r="A15554" s="55"/>
      <c r="B15554"/>
    </row>
    <row r="15555" spans="1:2">
      <c r="A15555" s="55"/>
      <c r="B15555"/>
    </row>
    <row r="15556" spans="1:2">
      <c r="A15556" s="55"/>
      <c r="B15556"/>
    </row>
    <row r="15557" spans="1:2">
      <c r="A15557" s="55"/>
      <c r="B15557"/>
    </row>
    <row r="15558" spans="1:2">
      <c r="A15558" s="55"/>
      <c r="B15558"/>
    </row>
    <row r="15559" spans="1:2">
      <c r="A15559" s="55"/>
      <c r="B15559"/>
    </row>
    <row r="15560" spans="1:2">
      <c r="A15560" s="55"/>
      <c r="B15560"/>
    </row>
    <row r="15561" spans="1:2">
      <c r="A15561" s="55"/>
      <c r="B15561"/>
    </row>
    <row r="15562" spans="1:2">
      <c r="A15562" s="55"/>
      <c r="B15562"/>
    </row>
    <row r="15563" spans="1:2">
      <c r="A15563" s="55"/>
      <c r="B15563"/>
    </row>
    <row r="15564" spans="1:2">
      <c r="A15564" s="55"/>
      <c r="B15564"/>
    </row>
    <row r="15565" spans="1:2">
      <c r="A15565" s="55"/>
      <c r="B15565"/>
    </row>
    <row r="15566" spans="1:2">
      <c r="A15566" s="55"/>
      <c r="B15566"/>
    </row>
    <row r="15567" spans="1:2">
      <c r="A15567" s="55"/>
      <c r="B15567"/>
    </row>
    <row r="15568" spans="1:2">
      <c r="A15568" s="55"/>
      <c r="B15568"/>
    </row>
    <row r="15569" spans="1:2">
      <c r="A15569" s="55"/>
      <c r="B15569"/>
    </row>
    <row r="15570" spans="1:2">
      <c r="A15570" s="55"/>
      <c r="B15570"/>
    </row>
    <row r="15571" spans="1:2">
      <c r="A15571" s="55"/>
      <c r="B15571"/>
    </row>
    <row r="15572" spans="1:2">
      <c r="A15572" s="55"/>
      <c r="B15572"/>
    </row>
    <row r="15573" spans="1:2">
      <c r="A15573" s="55"/>
      <c r="B15573"/>
    </row>
    <row r="15574" spans="1:2">
      <c r="A15574" s="55"/>
      <c r="B15574"/>
    </row>
    <row r="15575" spans="1:2">
      <c r="A15575" s="55"/>
      <c r="B15575"/>
    </row>
    <row r="15576" spans="1:2">
      <c r="A15576" s="55"/>
      <c r="B15576"/>
    </row>
    <row r="15577" spans="1:2">
      <c r="A15577" s="55"/>
      <c r="B15577"/>
    </row>
    <row r="15578" spans="1:2">
      <c r="A15578" s="55"/>
      <c r="B15578"/>
    </row>
    <row r="15579" spans="1:2">
      <c r="A15579" s="55"/>
      <c r="B15579"/>
    </row>
    <row r="15580" spans="1:2">
      <c r="A15580" s="55"/>
      <c r="B15580"/>
    </row>
    <row r="15581" spans="1:2">
      <c r="A15581" s="55"/>
      <c r="B15581"/>
    </row>
    <row r="15582" spans="1:2">
      <c r="A15582" s="55"/>
      <c r="B15582"/>
    </row>
    <row r="15583" spans="1:2">
      <c r="A15583" s="55"/>
      <c r="B15583"/>
    </row>
    <row r="15584" spans="1:2">
      <c r="A15584" s="55"/>
      <c r="B15584"/>
    </row>
    <row r="15585" spans="1:2">
      <c r="A15585" s="55"/>
      <c r="B15585"/>
    </row>
    <row r="15586" spans="1:2">
      <c r="A15586" s="55"/>
      <c r="B15586"/>
    </row>
    <row r="15587" spans="1:2">
      <c r="A15587" s="55"/>
      <c r="B15587"/>
    </row>
    <row r="15588" spans="1:2">
      <c r="A15588" s="55"/>
      <c r="B15588"/>
    </row>
    <row r="15589" spans="1:2">
      <c r="A15589" s="55"/>
      <c r="B15589"/>
    </row>
    <row r="15590" spans="1:2">
      <c r="A15590" s="55"/>
      <c r="B15590"/>
    </row>
    <row r="15591" spans="1:2">
      <c r="A15591" s="55"/>
      <c r="B15591"/>
    </row>
    <row r="15592" spans="1:2">
      <c r="A15592" s="55"/>
      <c r="B15592"/>
    </row>
    <row r="15593" spans="1:2">
      <c r="A15593" s="55"/>
      <c r="B15593"/>
    </row>
    <row r="15594" spans="1:2">
      <c r="A15594" s="55"/>
      <c r="B15594"/>
    </row>
    <row r="15595" spans="1:2">
      <c r="A15595" s="55"/>
      <c r="B15595"/>
    </row>
    <row r="15596" spans="1:2">
      <c r="A15596" s="55"/>
      <c r="B15596"/>
    </row>
    <row r="15597" spans="1:2">
      <c r="A15597" s="55"/>
      <c r="B15597"/>
    </row>
    <row r="15598" spans="1:2">
      <c r="A15598" s="55"/>
      <c r="B15598"/>
    </row>
    <row r="15599" spans="1:2">
      <c r="A15599" s="55"/>
      <c r="B15599"/>
    </row>
    <row r="15600" spans="1:2">
      <c r="A15600" s="55"/>
      <c r="B15600"/>
    </row>
    <row r="15601" spans="1:2">
      <c r="A15601" s="55"/>
      <c r="B15601"/>
    </row>
    <row r="15602" spans="1:2">
      <c r="A15602" s="55"/>
      <c r="B15602"/>
    </row>
    <row r="15603" spans="1:2">
      <c r="A15603" s="55"/>
      <c r="B15603"/>
    </row>
    <row r="15604" spans="1:2">
      <c r="A15604" s="55"/>
      <c r="B15604"/>
    </row>
    <row r="15605" spans="1:2">
      <c r="A15605" s="55"/>
      <c r="B15605"/>
    </row>
    <row r="15606" spans="1:2">
      <c r="A15606" s="55"/>
      <c r="B15606"/>
    </row>
    <row r="15607" spans="1:2">
      <c r="A15607" s="55"/>
      <c r="B15607"/>
    </row>
    <row r="15608" spans="1:2">
      <c r="A15608" s="55"/>
      <c r="B15608"/>
    </row>
    <row r="15609" spans="1:2">
      <c r="A15609" s="55"/>
      <c r="B15609"/>
    </row>
    <row r="15610" spans="1:2">
      <c r="A15610" s="55"/>
      <c r="B15610"/>
    </row>
    <row r="15611" spans="1:2">
      <c r="A15611" s="55"/>
      <c r="B15611"/>
    </row>
    <row r="15612" spans="1:2">
      <c r="A15612" s="55"/>
      <c r="B15612"/>
    </row>
    <row r="15613" spans="1:2">
      <c r="A15613" s="55"/>
      <c r="B15613"/>
    </row>
    <row r="15614" spans="1:2">
      <c r="A15614" s="55"/>
      <c r="B15614"/>
    </row>
    <row r="15615" spans="1:2">
      <c r="A15615" s="55"/>
      <c r="B15615"/>
    </row>
    <row r="15616" spans="1:2">
      <c r="A15616" s="55"/>
      <c r="B15616"/>
    </row>
    <row r="15617" spans="1:2">
      <c r="A15617" s="55"/>
      <c r="B15617"/>
    </row>
    <row r="15618" spans="1:2">
      <c r="A15618" s="55"/>
      <c r="B15618"/>
    </row>
    <row r="15619" spans="1:2">
      <c r="A15619" s="55"/>
      <c r="B15619"/>
    </row>
    <row r="15620" spans="1:2">
      <c r="A15620" s="55"/>
      <c r="B15620"/>
    </row>
    <row r="15621" spans="1:2">
      <c r="A15621" s="55"/>
      <c r="B15621"/>
    </row>
    <row r="15622" spans="1:2">
      <c r="A15622" s="55"/>
      <c r="B15622"/>
    </row>
    <row r="15623" spans="1:2">
      <c r="A15623" s="55"/>
      <c r="B15623"/>
    </row>
    <row r="15624" spans="1:2">
      <c r="A15624" s="55"/>
      <c r="B15624"/>
    </row>
    <row r="15625" spans="1:2">
      <c r="A15625" s="55"/>
      <c r="B15625"/>
    </row>
    <row r="15626" spans="1:2">
      <c r="A15626" s="55"/>
      <c r="B15626"/>
    </row>
    <row r="15627" spans="1:2">
      <c r="A15627" s="55"/>
      <c r="B15627"/>
    </row>
    <row r="15628" spans="1:2">
      <c r="A15628" s="55"/>
      <c r="B15628"/>
    </row>
    <row r="15629" spans="1:2">
      <c r="A15629" s="55"/>
      <c r="B15629"/>
    </row>
    <row r="15630" spans="1:2">
      <c r="A15630" s="55"/>
      <c r="B15630"/>
    </row>
    <row r="15631" spans="1:2">
      <c r="A15631" s="55"/>
      <c r="B15631"/>
    </row>
    <row r="15632" spans="1:2">
      <c r="A15632" s="55"/>
      <c r="B15632"/>
    </row>
    <row r="15633" spans="1:2">
      <c r="A15633" s="55"/>
      <c r="B15633"/>
    </row>
    <row r="15634" spans="1:2">
      <c r="A15634" s="55"/>
      <c r="B15634"/>
    </row>
    <row r="15635" spans="1:2">
      <c r="A15635" s="55"/>
      <c r="B15635"/>
    </row>
    <row r="15636" spans="1:2">
      <c r="A15636" s="55"/>
      <c r="B15636"/>
    </row>
    <row r="15637" spans="1:2">
      <c r="A15637" s="55"/>
      <c r="B15637"/>
    </row>
    <row r="15638" spans="1:2">
      <c r="A15638" s="55"/>
      <c r="B15638"/>
    </row>
    <row r="15639" spans="1:2">
      <c r="A15639" s="55"/>
      <c r="B15639"/>
    </row>
    <row r="15640" spans="1:2">
      <c r="A15640" s="55"/>
      <c r="B15640"/>
    </row>
    <row r="15641" spans="1:2">
      <c r="A15641" s="55"/>
      <c r="B15641"/>
    </row>
    <row r="15642" spans="1:2">
      <c r="A15642" s="55"/>
      <c r="B15642"/>
    </row>
    <row r="15643" spans="1:2">
      <c r="A15643" s="55"/>
      <c r="B15643"/>
    </row>
    <row r="15644" spans="1:2">
      <c r="A15644" s="55"/>
      <c r="B15644"/>
    </row>
    <row r="15645" spans="1:2">
      <c r="A15645" s="55"/>
      <c r="B15645"/>
    </row>
    <row r="15646" spans="1:2">
      <c r="A15646" s="55"/>
      <c r="B15646"/>
    </row>
    <row r="15647" spans="1:2">
      <c r="A15647" s="55"/>
      <c r="B15647"/>
    </row>
    <row r="15648" spans="1:2">
      <c r="A15648" s="55"/>
      <c r="B15648"/>
    </row>
    <row r="15649" spans="1:2">
      <c r="A15649" s="55"/>
      <c r="B15649"/>
    </row>
    <row r="15650" spans="1:2">
      <c r="A15650" s="55"/>
      <c r="B15650"/>
    </row>
    <row r="15651" spans="1:2">
      <c r="A15651" s="55"/>
      <c r="B15651"/>
    </row>
    <row r="15652" spans="1:2">
      <c r="A15652" s="55"/>
      <c r="B15652"/>
    </row>
    <row r="15653" spans="1:2">
      <c r="A15653" s="55"/>
      <c r="B15653"/>
    </row>
    <row r="15654" spans="1:2">
      <c r="A15654" s="55"/>
      <c r="B15654"/>
    </row>
    <row r="15655" spans="1:2">
      <c r="A15655" s="55"/>
      <c r="B15655"/>
    </row>
    <row r="15656" spans="1:2">
      <c r="A15656" s="55"/>
      <c r="B15656"/>
    </row>
    <row r="15657" spans="1:2">
      <c r="A15657" s="55"/>
      <c r="B15657"/>
    </row>
    <row r="15658" spans="1:2">
      <c r="A15658" s="55"/>
      <c r="B15658"/>
    </row>
    <row r="15659" spans="1:2">
      <c r="A15659" s="55"/>
      <c r="B15659"/>
    </row>
    <row r="15660" spans="1:2">
      <c r="A15660" s="55"/>
      <c r="B15660"/>
    </row>
    <row r="15661" spans="1:2">
      <c r="A15661" s="55"/>
      <c r="B15661"/>
    </row>
    <row r="15662" spans="1:2">
      <c r="A15662" s="55"/>
      <c r="B15662"/>
    </row>
    <row r="15663" spans="1:2">
      <c r="A15663" s="55"/>
      <c r="B15663"/>
    </row>
    <row r="15664" spans="1:2">
      <c r="A15664" s="55"/>
      <c r="B15664"/>
    </row>
    <row r="15665" spans="1:2">
      <c r="A15665" s="55"/>
      <c r="B15665"/>
    </row>
    <row r="15666" spans="1:2">
      <c r="A15666" s="55"/>
      <c r="B15666"/>
    </row>
    <row r="15667" spans="1:2">
      <c r="A15667" s="55"/>
      <c r="B15667"/>
    </row>
    <row r="15668" spans="1:2">
      <c r="A15668" s="55"/>
      <c r="B15668"/>
    </row>
    <row r="15669" spans="1:2">
      <c r="A15669" s="55"/>
      <c r="B15669"/>
    </row>
    <row r="15670" spans="1:2">
      <c r="A15670" s="55"/>
      <c r="B15670"/>
    </row>
    <row r="15671" spans="1:2">
      <c r="A15671" s="55"/>
      <c r="B15671"/>
    </row>
    <row r="15672" spans="1:2">
      <c r="A15672" s="55"/>
      <c r="B15672"/>
    </row>
    <row r="15673" spans="1:2">
      <c r="A15673" s="55"/>
      <c r="B15673"/>
    </row>
    <row r="15674" spans="1:2">
      <c r="A15674" s="55"/>
      <c r="B15674"/>
    </row>
    <row r="15675" spans="1:2">
      <c r="A15675" s="55"/>
      <c r="B15675"/>
    </row>
    <row r="15676" spans="1:2">
      <c r="A15676" s="55"/>
      <c r="B15676"/>
    </row>
    <row r="15677" spans="1:2">
      <c r="A15677" s="55"/>
      <c r="B15677"/>
    </row>
    <row r="15678" spans="1:2">
      <c r="A15678" s="55"/>
      <c r="B15678"/>
    </row>
    <row r="15679" spans="1:2">
      <c r="A15679" s="55"/>
      <c r="B15679"/>
    </row>
    <row r="15680" spans="1:2">
      <c r="A15680" s="55"/>
      <c r="B15680"/>
    </row>
    <row r="15681" spans="1:2">
      <c r="A15681" s="55"/>
      <c r="B15681"/>
    </row>
    <row r="15682" spans="1:2">
      <c r="A15682" s="55"/>
      <c r="B15682"/>
    </row>
    <row r="15683" spans="1:2">
      <c r="A15683" s="55"/>
      <c r="B15683"/>
    </row>
    <row r="15684" spans="1:2">
      <c r="A15684" s="55"/>
      <c r="B15684"/>
    </row>
    <row r="15685" spans="1:2">
      <c r="A15685" s="55"/>
      <c r="B15685"/>
    </row>
    <row r="15686" spans="1:2">
      <c r="A15686" s="55"/>
      <c r="B15686"/>
    </row>
    <row r="15687" spans="1:2">
      <c r="A15687" s="55"/>
      <c r="B15687"/>
    </row>
    <row r="15688" spans="1:2">
      <c r="A15688" s="55"/>
      <c r="B15688"/>
    </row>
    <row r="15689" spans="1:2">
      <c r="A15689" s="55"/>
      <c r="B15689"/>
    </row>
    <row r="15690" spans="1:2">
      <c r="A15690" s="55"/>
      <c r="B15690"/>
    </row>
    <row r="15691" spans="1:2">
      <c r="A15691" s="55"/>
      <c r="B15691"/>
    </row>
    <row r="15692" spans="1:2">
      <c r="A15692" s="55"/>
      <c r="B15692"/>
    </row>
    <row r="15693" spans="1:2">
      <c r="A15693" s="55"/>
      <c r="B15693"/>
    </row>
    <row r="15694" spans="1:2">
      <c r="A15694" s="55"/>
      <c r="B15694"/>
    </row>
    <row r="15695" spans="1:2">
      <c r="A15695" s="55"/>
      <c r="B15695"/>
    </row>
    <row r="15696" spans="1:2">
      <c r="A15696" s="55"/>
      <c r="B15696"/>
    </row>
    <row r="15697" spans="1:2">
      <c r="A15697" s="55"/>
      <c r="B15697"/>
    </row>
    <row r="15698" spans="1:2">
      <c r="A15698" s="55"/>
      <c r="B15698"/>
    </row>
    <row r="15699" spans="1:2">
      <c r="A15699" s="55"/>
      <c r="B15699"/>
    </row>
    <row r="15700" spans="1:2">
      <c r="A15700" s="55"/>
      <c r="B15700"/>
    </row>
    <row r="15701" spans="1:2">
      <c r="A15701" s="55"/>
      <c r="B15701"/>
    </row>
    <row r="15702" spans="1:2">
      <c r="A15702" s="55"/>
      <c r="B15702"/>
    </row>
    <row r="15703" spans="1:2">
      <c r="A15703" s="55"/>
      <c r="B15703"/>
    </row>
    <row r="15704" spans="1:2">
      <c r="A15704" s="55"/>
      <c r="B15704"/>
    </row>
    <row r="15705" spans="1:2">
      <c r="A15705" s="55"/>
      <c r="B15705"/>
    </row>
    <row r="15706" spans="1:2">
      <c r="A15706" s="55"/>
      <c r="B15706"/>
    </row>
    <row r="15707" spans="1:2">
      <c r="A15707" s="55"/>
      <c r="B15707"/>
    </row>
    <row r="15708" spans="1:2">
      <c r="A15708" s="55"/>
      <c r="B15708"/>
    </row>
    <row r="15709" spans="1:2">
      <c r="A15709" s="55"/>
      <c r="B15709"/>
    </row>
    <row r="15710" spans="1:2">
      <c r="A15710" s="55"/>
      <c r="B15710"/>
    </row>
    <row r="15711" spans="1:2">
      <c r="A15711" s="55"/>
      <c r="B15711"/>
    </row>
    <row r="15712" spans="1:2">
      <c r="A15712" s="55"/>
      <c r="B15712"/>
    </row>
    <row r="15713" spans="1:2">
      <c r="A15713" s="55"/>
      <c r="B15713"/>
    </row>
    <row r="15714" spans="1:2">
      <c r="A15714" s="55"/>
      <c r="B15714"/>
    </row>
    <row r="15715" spans="1:2">
      <c r="A15715" s="55"/>
      <c r="B15715"/>
    </row>
    <row r="15716" spans="1:2">
      <c r="A15716" s="55"/>
      <c r="B15716"/>
    </row>
    <row r="15717" spans="1:2">
      <c r="A15717" s="55"/>
      <c r="B15717"/>
    </row>
    <row r="15718" spans="1:2">
      <c r="A15718" s="55"/>
      <c r="B15718"/>
    </row>
    <row r="15719" spans="1:2">
      <c r="A15719" s="55"/>
      <c r="B15719"/>
    </row>
    <row r="15720" spans="1:2">
      <c r="A15720" s="55"/>
      <c r="B15720"/>
    </row>
    <row r="15721" spans="1:2">
      <c r="A15721" s="55"/>
      <c r="B15721"/>
    </row>
    <row r="15722" spans="1:2">
      <c r="A15722" s="55"/>
      <c r="B15722"/>
    </row>
    <row r="15723" spans="1:2">
      <c r="A15723" s="55"/>
      <c r="B15723"/>
    </row>
    <row r="15724" spans="1:2">
      <c r="A15724" s="55"/>
      <c r="B15724"/>
    </row>
    <row r="15725" spans="1:2">
      <c r="A15725" s="55"/>
      <c r="B15725"/>
    </row>
    <row r="15726" spans="1:2">
      <c r="A15726" s="55"/>
      <c r="B15726"/>
    </row>
    <row r="15727" spans="1:2">
      <c r="A15727" s="55"/>
      <c r="B15727"/>
    </row>
    <row r="15728" spans="1:2">
      <c r="A15728" s="55"/>
      <c r="B15728"/>
    </row>
    <row r="15729" spans="1:2">
      <c r="A15729" s="55"/>
      <c r="B15729"/>
    </row>
    <row r="15730" spans="1:2">
      <c r="A15730" s="55"/>
      <c r="B15730"/>
    </row>
    <row r="15731" spans="1:2">
      <c r="A15731" s="55"/>
      <c r="B15731"/>
    </row>
    <row r="15732" spans="1:2">
      <c r="A15732" s="55"/>
      <c r="B15732"/>
    </row>
    <row r="15733" spans="1:2">
      <c r="A15733" s="55"/>
      <c r="B15733"/>
    </row>
    <row r="15734" spans="1:2">
      <c r="A15734" s="55"/>
      <c r="B15734"/>
    </row>
    <row r="15735" spans="1:2">
      <c r="A15735" s="55"/>
      <c r="B15735"/>
    </row>
    <row r="15736" spans="1:2">
      <c r="A15736" s="55"/>
      <c r="B15736"/>
    </row>
    <row r="15737" spans="1:2">
      <c r="A15737" s="55"/>
      <c r="B15737"/>
    </row>
    <row r="15738" spans="1:2">
      <c r="A15738" s="55"/>
      <c r="B15738"/>
    </row>
    <row r="15739" spans="1:2">
      <c r="A15739" s="55"/>
      <c r="B15739"/>
    </row>
    <row r="15740" spans="1:2">
      <c r="A15740" s="55"/>
      <c r="B15740"/>
    </row>
    <row r="15741" spans="1:2">
      <c r="A15741" s="55"/>
      <c r="B15741"/>
    </row>
    <row r="15742" spans="1:2">
      <c r="A15742" s="55"/>
      <c r="B15742"/>
    </row>
    <row r="15743" spans="1:2">
      <c r="A15743" s="55"/>
      <c r="B15743"/>
    </row>
    <row r="15744" spans="1:2">
      <c r="A15744" s="55"/>
      <c r="B15744"/>
    </row>
    <row r="15745" spans="1:2">
      <c r="A15745" s="55"/>
      <c r="B15745"/>
    </row>
    <row r="15746" spans="1:2">
      <c r="A15746" s="55"/>
      <c r="B15746"/>
    </row>
    <row r="15747" spans="1:2">
      <c r="A15747" s="55"/>
      <c r="B15747"/>
    </row>
    <row r="15748" spans="1:2">
      <c r="A15748" s="55"/>
      <c r="B15748"/>
    </row>
    <row r="15749" spans="1:2">
      <c r="A15749" s="55"/>
      <c r="B15749"/>
    </row>
    <row r="15750" spans="1:2">
      <c r="A15750" s="55"/>
      <c r="B15750"/>
    </row>
    <row r="15751" spans="1:2">
      <c r="A15751" s="55"/>
      <c r="B15751"/>
    </row>
    <row r="15752" spans="1:2">
      <c r="A15752" s="55"/>
      <c r="B15752"/>
    </row>
    <row r="15753" spans="1:2">
      <c r="A15753" s="55"/>
      <c r="B15753"/>
    </row>
    <row r="15754" spans="1:2">
      <c r="A15754" s="55"/>
      <c r="B15754"/>
    </row>
    <row r="15755" spans="1:2">
      <c r="A15755" s="55"/>
      <c r="B15755"/>
    </row>
    <row r="15756" spans="1:2">
      <c r="A15756" s="55"/>
      <c r="B15756"/>
    </row>
    <row r="15757" spans="1:2">
      <c r="A15757" s="55"/>
      <c r="B15757"/>
    </row>
    <row r="15758" spans="1:2">
      <c r="A15758" s="55"/>
      <c r="B15758"/>
    </row>
    <row r="15759" spans="1:2">
      <c r="A15759" s="55"/>
      <c r="B15759"/>
    </row>
    <row r="15760" spans="1:2">
      <c r="A15760" s="55"/>
      <c r="B15760"/>
    </row>
    <row r="15761" spans="1:2">
      <c r="A15761" s="55"/>
      <c r="B15761"/>
    </row>
    <row r="15762" spans="1:2">
      <c r="A15762" s="55"/>
      <c r="B15762"/>
    </row>
    <row r="15763" spans="1:2">
      <c r="A15763" s="55"/>
      <c r="B15763"/>
    </row>
    <row r="15764" spans="1:2">
      <c r="A15764" s="55"/>
      <c r="B15764"/>
    </row>
    <row r="15765" spans="1:2">
      <c r="A15765" s="55"/>
      <c r="B15765"/>
    </row>
    <row r="15766" spans="1:2">
      <c r="A15766" s="55"/>
      <c r="B15766"/>
    </row>
    <row r="15767" spans="1:2">
      <c r="A15767" s="55"/>
      <c r="B15767"/>
    </row>
    <row r="15768" spans="1:2">
      <c r="A15768" s="55"/>
      <c r="B15768"/>
    </row>
    <row r="15769" spans="1:2">
      <c r="A15769" s="55"/>
      <c r="B15769"/>
    </row>
    <row r="15770" spans="1:2">
      <c r="A15770" s="55"/>
      <c r="B15770"/>
    </row>
    <row r="15771" spans="1:2">
      <c r="A15771" s="55"/>
      <c r="B15771"/>
    </row>
    <row r="15772" spans="1:2">
      <c r="A15772" s="55"/>
      <c r="B15772"/>
    </row>
    <row r="15773" spans="1:2">
      <c r="A15773" s="55"/>
      <c r="B15773"/>
    </row>
    <row r="15774" spans="1:2">
      <c r="A15774" s="55"/>
      <c r="B15774"/>
    </row>
    <row r="15775" spans="1:2">
      <c r="A15775" s="55"/>
      <c r="B15775"/>
    </row>
    <row r="15776" spans="1:2">
      <c r="A15776" s="55"/>
      <c r="B15776"/>
    </row>
    <row r="15777" spans="1:2">
      <c r="A15777" s="55"/>
      <c r="B15777"/>
    </row>
    <row r="15778" spans="1:2">
      <c r="A15778" s="55"/>
      <c r="B15778"/>
    </row>
    <row r="15779" spans="1:2">
      <c r="A15779" s="55"/>
      <c r="B15779"/>
    </row>
    <row r="15780" spans="1:2">
      <c r="A15780" s="55"/>
      <c r="B15780"/>
    </row>
    <row r="15781" spans="1:2">
      <c r="A15781" s="55"/>
      <c r="B15781"/>
    </row>
    <row r="15782" spans="1:2">
      <c r="A15782" s="55"/>
      <c r="B15782"/>
    </row>
    <row r="15783" spans="1:2">
      <c r="A15783" s="55"/>
      <c r="B15783"/>
    </row>
    <row r="15784" spans="1:2">
      <c r="A15784" s="55"/>
      <c r="B15784"/>
    </row>
    <row r="15785" spans="1:2">
      <c r="A15785" s="55"/>
      <c r="B15785"/>
    </row>
    <row r="15786" spans="1:2">
      <c r="A15786" s="55"/>
      <c r="B15786"/>
    </row>
    <row r="15787" spans="1:2">
      <c r="A15787" s="55"/>
      <c r="B15787"/>
    </row>
    <row r="15788" spans="1:2">
      <c r="A15788" s="55"/>
      <c r="B15788"/>
    </row>
    <row r="15789" spans="1:2">
      <c r="A15789" s="55"/>
      <c r="B15789"/>
    </row>
    <row r="15790" spans="1:2">
      <c r="A15790" s="55"/>
      <c r="B15790"/>
    </row>
    <row r="15791" spans="1:2">
      <c r="A15791" s="55"/>
      <c r="B15791"/>
    </row>
    <row r="15792" spans="1:2">
      <c r="A15792" s="55"/>
      <c r="B15792"/>
    </row>
    <row r="15793" spans="1:2">
      <c r="A15793" s="55"/>
      <c r="B15793"/>
    </row>
    <row r="15794" spans="1:2">
      <c r="A15794" s="55"/>
      <c r="B15794"/>
    </row>
    <row r="15795" spans="1:2">
      <c r="A15795" s="55"/>
      <c r="B15795"/>
    </row>
    <row r="15796" spans="1:2">
      <c r="A15796" s="55"/>
      <c r="B15796"/>
    </row>
    <row r="15797" spans="1:2">
      <c r="A15797" s="55"/>
      <c r="B15797"/>
    </row>
    <row r="15798" spans="1:2">
      <c r="A15798" s="55"/>
      <c r="B15798"/>
    </row>
    <row r="15799" spans="1:2">
      <c r="A15799" s="55"/>
      <c r="B15799"/>
    </row>
    <row r="15800" spans="1:2">
      <c r="A15800" s="55"/>
      <c r="B15800"/>
    </row>
    <row r="15801" spans="1:2">
      <c r="A15801" s="55"/>
      <c r="B15801"/>
    </row>
    <row r="15802" spans="1:2">
      <c r="A15802" s="55"/>
      <c r="B15802"/>
    </row>
    <row r="15803" spans="1:2">
      <c r="A15803" s="55"/>
      <c r="B15803"/>
    </row>
    <row r="15804" spans="1:2">
      <c r="A15804" s="55"/>
      <c r="B15804"/>
    </row>
    <row r="15805" spans="1:2">
      <c r="A15805" s="55"/>
      <c r="B15805"/>
    </row>
    <row r="15806" spans="1:2">
      <c r="A15806" s="55"/>
      <c r="B15806"/>
    </row>
    <row r="15807" spans="1:2">
      <c r="A15807" s="55"/>
      <c r="B15807"/>
    </row>
    <row r="15808" spans="1:2">
      <c r="A15808" s="55"/>
      <c r="B15808"/>
    </row>
    <row r="15809" spans="1:2">
      <c r="A15809" s="55"/>
      <c r="B15809"/>
    </row>
    <row r="15810" spans="1:2">
      <c r="A15810" s="55"/>
      <c r="B15810"/>
    </row>
    <row r="15811" spans="1:2">
      <c r="A15811" s="55"/>
      <c r="B15811"/>
    </row>
    <row r="15812" spans="1:2">
      <c r="A15812" s="55"/>
      <c r="B15812"/>
    </row>
    <row r="15813" spans="1:2">
      <c r="A15813" s="55"/>
      <c r="B15813"/>
    </row>
    <row r="15814" spans="1:2">
      <c r="A15814" s="55"/>
      <c r="B15814"/>
    </row>
    <row r="15815" spans="1:2">
      <c r="A15815" s="55"/>
      <c r="B15815"/>
    </row>
    <row r="15816" spans="1:2">
      <c r="A15816" s="55"/>
      <c r="B15816"/>
    </row>
    <row r="15817" spans="1:2">
      <c r="A15817" s="55"/>
      <c r="B15817"/>
    </row>
    <row r="15818" spans="1:2">
      <c r="A15818" s="55"/>
      <c r="B15818"/>
    </row>
    <row r="15819" spans="1:2">
      <c r="A15819" s="55"/>
      <c r="B15819"/>
    </row>
    <row r="15820" spans="1:2">
      <c r="A15820" s="55"/>
      <c r="B15820"/>
    </row>
    <row r="15821" spans="1:2">
      <c r="A15821" s="55"/>
      <c r="B15821"/>
    </row>
    <row r="15822" spans="1:2">
      <c r="A15822" s="55"/>
      <c r="B15822"/>
    </row>
    <row r="15823" spans="1:2">
      <c r="A15823" s="55"/>
      <c r="B15823"/>
    </row>
    <row r="15824" spans="1:2">
      <c r="A15824" s="55"/>
      <c r="B15824"/>
    </row>
    <row r="15825" spans="1:2">
      <c r="A15825" s="55"/>
      <c r="B15825"/>
    </row>
    <row r="15826" spans="1:2">
      <c r="A15826" s="55"/>
      <c r="B15826"/>
    </row>
    <row r="15827" spans="1:2">
      <c r="A15827" s="55"/>
      <c r="B15827"/>
    </row>
    <row r="15828" spans="1:2">
      <c r="A15828" s="55"/>
      <c r="B15828"/>
    </row>
    <row r="15829" spans="1:2">
      <c r="A15829" s="55"/>
      <c r="B15829"/>
    </row>
    <row r="15830" spans="1:2">
      <c r="A15830" s="55"/>
      <c r="B15830"/>
    </row>
    <row r="15831" spans="1:2">
      <c r="A15831" s="55"/>
      <c r="B15831"/>
    </row>
    <row r="15832" spans="1:2">
      <c r="A15832" s="55"/>
      <c r="B15832"/>
    </row>
    <row r="15833" spans="1:2">
      <c r="A15833" s="55"/>
      <c r="B15833"/>
    </row>
    <row r="15834" spans="1:2">
      <c r="A15834" s="55"/>
      <c r="B15834"/>
    </row>
    <row r="15835" spans="1:2">
      <c r="A15835" s="55"/>
      <c r="B15835"/>
    </row>
    <row r="15836" spans="1:2">
      <c r="A15836" s="55"/>
      <c r="B15836"/>
    </row>
    <row r="15837" spans="1:2">
      <c r="A15837" s="55"/>
      <c r="B15837"/>
    </row>
    <row r="15838" spans="1:2">
      <c r="A15838" s="55"/>
      <c r="B15838"/>
    </row>
    <row r="15839" spans="1:2">
      <c r="A15839" s="55"/>
      <c r="B15839"/>
    </row>
    <row r="15840" spans="1:2">
      <c r="A15840" s="55"/>
      <c r="B15840"/>
    </row>
    <row r="15841" spans="1:2">
      <c r="A15841" s="55"/>
      <c r="B15841"/>
    </row>
    <row r="15842" spans="1:2">
      <c r="A15842" s="55"/>
      <c r="B15842"/>
    </row>
    <row r="15843" spans="1:2">
      <c r="A15843" s="55"/>
      <c r="B15843"/>
    </row>
    <row r="15844" spans="1:2">
      <c r="A15844" s="55"/>
      <c r="B15844"/>
    </row>
    <row r="15845" spans="1:2">
      <c r="A15845" s="55"/>
      <c r="B15845"/>
    </row>
    <row r="15846" spans="1:2">
      <c r="A15846" s="55"/>
      <c r="B15846"/>
    </row>
    <row r="15847" spans="1:2">
      <c r="A15847" s="55"/>
      <c r="B15847"/>
    </row>
    <row r="15848" spans="1:2">
      <c r="A15848" s="55"/>
      <c r="B15848"/>
    </row>
    <row r="15849" spans="1:2">
      <c r="A15849" s="55"/>
      <c r="B15849"/>
    </row>
    <row r="15850" spans="1:2">
      <c r="A15850" s="55"/>
      <c r="B15850"/>
    </row>
    <row r="15851" spans="1:2">
      <c r="A15851" s="55"/>
      <c r="B15851"/>
    </row>
    <row r="15852" spans="1:2">
      <c r="A15852" s="55"/>
      <c r="B15852"/>
    </row>
    <row r="15853" spans="1:2">
      <c r="A15853" s="55"/>
      <c r="B15853"/>
    </row>
    <row r="15854" spans="1:2">
      <c r="A15854" s="55"/>
      <c r="B15854"/>
    </row>
    <row r="15855" spans="1:2">
      <c r="A15855" s="55"/>
      <c r="B15855"/>
    </row>
    <row r="15856" spans="1:2">
      <c r="A15856" s="55"/>
      <c r="B15856"/>
    </row>
    <row r="15857" spans="1:2">
      <c r="A15857" s="55"/>
      <c r="B15857"/>
    </row>
    <row r="15858" spans="1:2">
      <c r="A15858" s="55"/>
      <c r="B15858"/>
    </row>
    <row r="15859" spans="1:2">
      <c r="A15859" s="55"/>
      <c r="B15859"/>
    </row>
    <row r="15860" spans="1:2">
      <c r="A15860" s="55"/>
      <c r="B15860"/>
    </row>
    <row r="15861" spans="1:2">
      <c r="A15861" s="55"/>
      <c r="B15861"/>
    </row>
    <row r="15862" spans="1:2">
      <c r="A15862" s="55"/>
      <c r="B15862"/>
    </row>
    <row r="15863" spans="1:2">
      <c r="A15863" s="55"/>
      <c r="B15863"/>
    </row>
    <row r="15864" spans="1:2">
      <c r="A15864" s="55"/>
      <c r="B15864"/>
    </row>
    <row r="15865" spans="1:2">
      <c r="A15865" s="55"/>
      <c r="B15865"/>
    </row>
    <row r="15866" spans="1:2">
      <c r="A15866" s="55"/>
      <c r="B15866"/>
    </row>
    <row r="15867" spans="1:2">
      <c r="A15867" s="55"/>
      <c r="B15867"/>
    </row>
    <row r="15868" spans="1:2">
      <c r="A15868" s="55"/>
      <c r="B15868"/>
    </row>
    <row r="15869" spans="1:2">
      <c r="A15869" s="55"/>
      <c r="B15869"/>
    </row>
    <row r="15870" spans="1:2">
      <c r="A15870" s="55"/>
      <c r="B15870"/>
    </row>
    <row r="15871" spans="1:2">
      <c r="A15871" s="55"/>
      <c r="B15871"/>
    </row>
    <row r="15872" spans="1:2">
      <c r="A15872" s="55"/>
      <c r="B15872"/>
    </row>
    <row r="15873" spans="1:2">
      <c r="A15873" s="55"/>
      <c r="B15873"/>
    </row>
    <row r="15874" spans="1:2">
      <c r="A15874" s="55"/>
      <c r="B15874"/>
    </row>
    <row r="15875" spans="1:2">
      <c r="A15875" s="55"/>
      <c r="B15875"/>
    </row>
    <row r="15876" spans="1:2">
      <c r="A15876" s="55"/>
      <c r="B15876"/>
    </row>
    <row r="15877" spans="1:2">
      <c r="A15877" s="55"/>
      <c r="B15877"/>
    </row>
    <row r="15878" spans="1:2">
      <c r="A15878" s="55"/>
      <c r="B15878"/>
    </row>
    <row r="15879" spans="1:2">
      <c r="A15879" s="55"/>
      <c r="B15879"/>
    </row>
    <row r="15880" spans="1:2">
      <c r="A15880" s="55"/>
      <c r="B15880"/>
    </row>
    <row r="15881" spans="1:2">
      <c r="A15881" s="55"/>
      <c r="B15881"/>
    </row>
    <row r="15882" spans="1:2">
      <c r="A15882" s="55"/>
      <c r="B15882"/>
    </row>
    <row r="15883" spans="1:2">
      <c r="A15883" s="55"/>
      <c r="B15883"/>
    </row>
    <row r="15884" spans="1:2">
      <c r="A15884" s="55"/>
      <c r="B15884"/>
    </row>
    <row r="15885" spans="1:2">
      <c r="A15885" s="55"/>
      <c r="B15885"/>
    </row>
    <row r="15886" spans="1:2">
      <c r="A15886" s="55"/>
      <c r="B15886"/>
    </row>
    <row r="15887" spans="1:2">
      <c r="A15887" s="55"/>
      <c r="B15887"/>
    </row>
    <row r="15888" spans="1:2">
      <c r="A15888" s="55"/>
      <c r="B15888"/>
    </row>
    <row r="15889" spans="1:2">
      <c r="A15889" s="55"/>
      <c r="B15889"/>
    </row>
    <row r="15890" spans="1:2">
      <c r="A15890" s="55"/>
      <c r="B15890"/>
    </row>
    <row r="15891" spans="1:2">
      <c r="A15891" s="55"/>
      <c r="B15891"/>
    </row>
    <row r="15892" spans="1:2">
      <c r="A15892" s="55"/>
      <c r="B15892"/>
    </row>
    <row r="15893" spans="1:2">
      <c r="A15893" s="55"/>
      <c r="B15893"/>
    </row>
    <row r="15894" spans="1:2">
      <c r="A15894" s="55"/>
      <c r="B15894"/>
    </row>
    <row r="15895" spans="1:2">
      <c r="A15895" s="55"/>
      <c r="B15895"/>
    </row>
    <row r="15896" spans="1:2">
      <c r="A15896" s="55"/>
      <c r="B15896"/>
    </row>
    <row r="15897" spans="1:2">
      <c r="A15897" s="55"/>
      <c r="B15897"/>
    </row>
    <row r="15898" spans="1:2">
      <c r="A15898" s="55"/>
      <c r="B15898"/>
    </row>
    <row r="15899" spans="1:2">
      <c r="A15899" s="55"/>
      <c r="B15899"/>
    </row>
    <row r="15900" spans="1:2">
      <c r="A15900" s="55"/>
      <c r="B15900"/>
    </row>
    <row r="15901" spans="1:2">
      <c r="A15901" s="55"/>
      <c r="B15901"/>
    </row>
    <row r="15902" spans="1:2">
      <c r="A15902" s="55"/>
      <c r="B15902"/>
    </row>
    <row r="15903" spans="1:2">
      <c r="A15903" s="55"/>
      <c r="B15903"/>
    </row>
    <row r="15904" spans="1:2">
      <c r="A15904" s="55"/>
      <c r="B15904"/>
    </row>
    <row r="15905" spans="1:2">
      <c r="A15905" s="55"/>
      <c r="B15905"/>
    </row>
    <row r="15906" spans="1:2">
      <c r="A15906" s="55"/>
      <c r="B15906"/>
    </row>
    <row r="15907" spans="1:2">
      <c r="A15907" s="55"/>
      <c r="B15907"/>
    </row>
    <row r="15908" spans="1:2">
      <c r="A15908" s="55"/>
      <c r="B15908"/>
    </row>
    <row r="15909" spans="1:2">
      <c r="A15909" s="55"/>
      <c r="B15909"/>
    </row>
    <row r="15910" spans="1:2">
      <c r="A15910" s="55"/>
      <c r="B15910"/>
    </row>
    <row r="15911" spans="1:2">
      <c r="A15911" s="55"/>
      <c r="B15911"/>
    </row>
    <row r="15912" spans="1:2">
      <c r="A15912" s="55"/>
      <c r="B15912"/>
    </row>
    <row r="15913" spans="1:2">
      <c r="A15913" s="55"/>
      <c r="B15913"/>
    </row>
    <row r="15914" spans="1:2">
      <c r="A15914" s="55"/>
      <c r="B15914"/>
    </row>
    <row r="15915" spans="1:2">
      <c r="A15915" s="55"/>
      <c r="B15915"/>
    </row>
    <row r="15916" spans="1:2">
      <c r="A15916" s="55"/>
      <c r="B15916"/>
    </row>
    <row r="15917" spans="1:2">
      <c r="A15917" s="55"/>
      <c r="B15917"/>
    </row>
    <row r="15918" spans="1:2">
      <c r="A15918" s="55"/>
      <c r="B15918"/>
    </row>
    <row r="15919" spans="1:2">
      <c r="A15919" s="55"/>
      <c r="B15919"/>
    </row>
    <row r="15920" spans="1:2">
      <c r="A15920" s="55"/>
      <c r="B15920"/>
    </row>
    <row r="15921" spans="1:2">
      <c r="A15921" s="55"/>
      <c r="B15921"/>
    </row>
    <row r="15922" spans="1:2">
      <c r="A15922" s="55"/>
      <c r="B15922"/>
    </row>
    <row r="15923" spans="1:2">
      <c r="A15923" s="55"/>
      <c r="B15923"/>
    </row>
    <row r="15924" spans="1:2">
      <c r="A15924" s="55"/>
      <c r="B15924"/>
    </row>
    <row r="15925" spans="1:2">
      <c r="A15925" s="55"/>
      <c r="B15925"/>
    </row>
    <row r="15926" spans="1:2">
      <c r="A15926" s="55"/>
      <c r="B15926"/>
    </row>
    <row r="15927" spans="1:2">
      <c r="A15927" s="55"/>
      <c r="B15927"/>
    </row>
    <row r="15928" spans="1:2">
      <c r="A15928" s="55"/>
      <c r="B15928"/>
    </row>
    <row r="15929" spans="1:2">
      <c r="A15929" s="55"/>
      <c r="B15929"/>
    </row>
    <row r="15930" spans="1:2">
      <c r="A15930" s="55"/>
      <c r="B15930"/>
    </row>
    <row r="15931" spans="1:2">
      <c r="A15931" s="55"/>
      <c r="B15931"/>
    </row>
    <row r="15932" spans="1:2">
      <c r="A15932" s="55"/>
      <c r="B15932"/>
    </row>
    <row r="15933" spans="1:2">
      <c r="A15933" s="55"/>
      <c r="B15933"/>
    </row>
    <row r="15934" spans="1:2">
      <c r="A15934" s="55"/>
      <c r="B15934"/>
    </row>
    <row r="15935" spans="1:2">
      <c r="A15935" s="55"/>
      <c r="B15935"/>
    </row>
    <row r="15936" spans="1:2">
      <c r="A15936" s="55"/>
      <c r="B15936"/>
    </row>
    <row r="15937" spans="1:2">
      <c r="A15937" s="55"/>
      <c r="B15937"/>
    </row>
    <row r="15938" spans="1:2">
      <c r="A15938" s="55"/>
      <c r="B15938"/>
    </row>
    <row r="15939" spans="1:2">
      <c r="A15939" s="55"/>
      <c r="B15939"/>
    </row>
    <row r="15940" spans="1:2">
      <c r="A15940" s="55"/>
      <c r="B15940"/>
    </row>
    <row r="15941" spans="1:2">
      <c r="A15941" s="55"/>
      <c r="B15941"/>
    </row>
    <row r="15942" spans="1:2">
      <c r="A15942" s="55"/>
      <c r="B15942"/>
    </row>
    <row r="15943" spans="1:2">
      <c r="A15943" s="55"/>
      <c r="B15943"/>
    </row>
    <row r="15944" spans="1:2">
      <c r="A15944" s="55"/>
      <c r="B15944"/>
    </row>
    <row r="15945" spans="1:2">
      <c r="A15945" s="55"/>
      <c r="B15945"/>
    </row>
    <row r="15946" spans="1:2">
      <c r="A15946" s="55"/>
      <c r="B15946"/>
    </row>
    <row r="15947" spans="1:2">
      <c r="A15947" s="55"/>
      <c r="B15947"/>
    </row>
    <row r="15948" spans="1:2">
      <c r="A15948" s="55"/>
      <c r="B15948"/>
    </row>
    <row r="15949" spans="1:2">
      <c r="A15949" s="55"/>
      <c r="B15949"/>
    </row>
    <row r="15950" spans="1:2">
      <c r="A15950" s="55"/>
      <c r="B15950"/>
    </row>
    <row r="15951" spans="1:2">
      <c r="A15951" s="55"/>
      <c r="B15951"/>
    </row>
    <row r="15952" spans="1:2">
      <c r="A15952" s="55"/>
      <c r="B15952"/>
    </row>
    <row r="15953" spans="1:2">
      <c r="A15953" s="55"/>
      <c r="B15953"/>
    </row>
    <row r="15954" spans="1:2">
      <c r="A15954" s="55"/>
      <c r="B15954"/>
    </row>
    <row r="15955" spans="1:2">
      <c r="A15955" s="55"/>
      <c r="B15955"/>
    </row>
    <row r="15956" spans="1:2">
      <c r="A15956" s="55"/>
      <c r="B15956"/>
    </row>
    <row r="15957" spans="1:2">
      <c r="A15957" s="55"/>
      <c r="B15957"/>
    </row>
    <row r="15958" spans="1:2">
      <c r="A15958" s="55"/>
      <c r="B15958"/>
    </row>
    <row r="15959" spans="1:2">
      <c r="A15959" s="55"/>
      <c r="B15959"/>
    </row>
    <row r="15960" spans="1:2">
      <c r="A15960" s="55"/>
      <c r="B15960"/>
    </row>
    <row r="15961" spans="1:2">
      <c r="A15961" s="55"/>
      <c r="B15961"/>
    </row>
    <row r="15962" spans="1:2">
      <c r="A15962" s="55"/>
      <c r="B15962"/>
    </row>
    <row r="15963" spans="1:2">
      <c r="A15963" s="55"/>
      <c r="B15963"/>
    </row>
    <row r="15964" spans="1:2">
      <c r="A15964" s="55"/>
      <c r="B15964"/>
    </row>
    <row r="15965" spans="1:2">
      <c r="A15965" s="55"/>
      <c r="B15965"/>
    </row>
    <row r="15966" spans="1:2">
      <c r="A15966" s="55"/>
      <c r="B15966"/>
    </row>
    <row r="15967" spans="1:2">
      <c r="A15967" s="55"/>
      <c r="B15967"/>
    </row>
    <row r="15968" spans="1:2">
      <c r="A15968" s="55"/>
      <c r="B15968"/>
    </row>
    <row r="15969" spans="1:2">
      <c r="A15969" s="55"/>
      <c r="B15969"/>
    </row>
    <row r="15970" spans="1:2">
      <c r="A15970" s="55"/>
      <c r="B15970"/>
    </row>
    <row r="15971" spans="1:2">
      <c r="A15971" s="55"/>
      <c r="B15971"/>
    </row>
    <row r="15972" spans="1:2">
      <c r="A15972" s="55"/>
      <c r="B15972"/>
    </row>
    <row r="15973" spans="1:2">
      <c r="A15973" s="55"/>
      <c r="B15973"/>
    </row>
    <row r="15974" spans="1:2">
      <c r="A15974" s="55"/>
      <c r="B15974"/>
    </row>
    <row r="15975" spans="1:2">
      <c r="A15975" s="55"/>
      <c r="B15975"/>
    </row>
    <row r="15976" spans="1:2">
      <c r="A15976" s="55"/>
      <c r="B15976"/>
    </row>
    <row r="15977" spans="1:2">
      <c r="A15977" s="55"/>
      <c r="B15977"/>
    </row>
    <row r="15978" spans="1:2">
      <c r="A15978" s="55"/>
      <c r="B15978"/>
    </row>
    <row r="15979" spans="1:2">
      <c r="A15979" s="55"/>
      <c r="B15979"/>
    </row>
    <row r="15980" spans="1:2">
      <c r="A15980" s="55"/>
      <c r="B15980"/>
    </row>
    <row r="15981" spans="1:2">
      <c r="A15981" s="55"/>
      <c r="B15981"/>
    </row>
    <row r="15982" spans="1:2">
      <c r="A15982" s="55"/>
      <c r="B15982"/>
    </row>
    <row r="15983" spans="1:2">
      <c r="A15983" s="55"/>
      <c r="B15983"/>
    </row>
    <row r="15984" spans="1:2">
      <c r="A15984" s="55"/>
      <c r="B15984"/>
    </row>
    <row r="15985" spans="1:2">
      <c r="A15985" s="55"/>
      <c r="B15985"/>
    </row>
    <row r="15986" spans="1:2">
      <c r="A15986" s="55"/>
      <c r="B15986"/>
    </row>
    <row r="15987" spans="1:2">
      <c r="A15987" s="55"/>
      <c r="B15987"/>
    </row>
    <row r="15988" spans="1:2">
      <c r="A15988" s="55"/>
      <c r="B15988"/>
    </row>
    <row r="15989" spans="1:2">
      <c r="A15989" s="55"/>
      <c r="B15989"/>
    </row>
    <row r="15990" spans="1:2">
      <c r="A15990" s="55"/>
      <c r="B15990"/>
    </row>
    <row r="15991" spans="1:2">
      <c r="A15991" s="55"/>
      <c r="B15991"/>
    </row>
    <row r="15992" spans="1:2">
      <c r="A15992" s="55"/>
      <c r="B15992"/>
    </row>
    <row r="15993" spans="1:2">
      <c r="A15993" s="55"/>
      <c r="B15993"/>
    </row>
    <row r="15994" spans="1:2">
      <c r="A15994" s="55"/>
      <c r="B15994"/>
    </row>
    <row r="15995" spans="1:2">
      <c r="A15995" s="55"/>
      <c r="B15995"/>
    </row>
    <row r="15996" spans="1:2">
      <c r="A15996" s="55"/>
      <c r="B15996"/>
    </row>
    <row r="15997" spans="1:2">
      <c r="A15997" s="55"/>
      <c r="B15997"/>
    </row>
    <row r="15998" spans="1:2">
      <c r="A15998" s="55"/>
      <c r="B15998"/>
    </row>
    <row r="15999" spans="1:2">
      <c r="A15999" s="55"/>
      <c r="B15999"/>
    </row>
    <row r="16000" spans="1:2">
      <c r="A16000" s="55"/>
      <c r="B16000"/>
    </row>
    <row r="16001" spans="1:2">
      <c r="A16001" s="55"/>
      <c r="B16001"/>
    </row>
    <row r="16002" spans="1:2">
      <c r="A16002" s="55"/>
      <c r="B16002"/>
    </row>
    <row r="16003" spans="1:2">
      <c r="A16003" s="55"/>
      <c r="B16003"/>
    </row>
    <row r="16004" spans="1:2">
      <c r="A16004" s="55"/>
      <c r="B16004"/>
    </row>
    <row r="16005" spans="1:2">
      <c r="A16005" s="55"/>
      <c r="B16005"/>
    </row>
    <row r="16006" spans="1:2">
      <c r="A16006" s="55"/>
      <c r="B16006"/>
    </row>
    <row r="16007" spans="1:2">
      <c r="A16007" s="55"/>
      <c r="B16007"/>
    </row>
    <row r="16008" spans="1:2">
      <c r="A16008" s="55"/>
      <c r="B16008"/>
    </row>
    <row r="16009" spans="1:2">
      <c r="A16009" s="55"/>
      <c r="B16009"/>
    </row>
    <row r="16010" spans="1:2">
      <c r="A16010" s="55"/>
      <c r="B16010"/>
    </row>
    <row r="16011" spans="1:2">
      <c r="A16011" s="55"/>
      <c r="B16011"/>
    </row>
    <row r="16012" spans="1:2">
      <c r="A16012" s="55"/>
      <c r="B16012"/>
    </row>
    <row r="16013" spans="1:2">
      <c r="A16013" s="55"/>
      <c r="B16013"/>
    </row>
    <row r="16014" spans="1:2">
      <c r="A16014" s="55"/>
      <c r="B16014"/>
    </row>
    <row r="16015" spans="1:2">
      <c r="A16015" s="55"/>
      <c r="B16015"/>
    </row>
    <row r="16016" spans="1:2">
      <c r="A16016" s="55"/>
      <c r="B16016"/>
    </row>
    <row r="16017" spans="1:2">
      <c r="A16017" s="55"/>
      <c r="B16017"/>
    </row>
    <row r="16018" spans="1:2">
      <c r="A16018" s="55"/>
      <c r="B16018"/>
    </row>
    <row r="16019" spans="1:2">
      <c r="A16019" s="55"/>
      <c r="B16019"/>
    </row>
    <row r="16020" spans="1:2">
      <c r="A16020" s="55"/>
      <c r="B16020"/>
    </row>
    <row r="16021" spans="1:2">
      <c r="A16021" s="55"/>
      <c r="B16021"/>
    </row>
    <row r="16022" spans="1:2">
      <c r="A16022" s="55"/>
      <c r="B16022"/>
    </row>
    <row r="16023" spans="1:2">
      <c r="A16023" s="55"/>
      <c r="B16023"/>
    </row>
    <row r="16024" spans="1:2">
      <c r="A16024" s="55"/>
      <c r="B16024"/>
    </row>
    <row r="16025" spans="1:2">
      <c r="A16025" s="55"/>
      <c r="B16025"/>
    </row>
    <row r="16026" spans="1:2">
      <c r="A16026" s="55"/>
      <c r="B16026"/>
    </row>
    <row r="16027" spans="1:2">
      <c r="A16027" s="55"/>
      <c r="B16027"/>
    </row>
    <row r="16028" spans="1:2">
      <c r="A16028" s="55"/>
      <c r="B16028"/>
    </row>
    <row r="16029" spans="1:2">
      <c r="A16029" s="55"/>
      <c r="B16029"/>
    </row>
    <row r="16030" spans="1:2">
      <c r="A16030" s="55"/>
      <c r="B16030"/>
    </row>
    <row r="16031" spans="1:2">
      <c r="A16031" s="55"/>
      <c r="B16031"/>
    </row>
    <row r="16032" spans="1:2">
      <c r="A16032" s="55"/>
      <c r="B16032"/>
    </row>
    <row r="16033" spans="1:2">
      <c r="A16033" s="55"/>
      <c r="B16033"/>
    </row>
    <row r="16034" spans="1:2">
      <c r="A16034" s="55"/>
      <c r="B16034"/>
    </row>
    <row r="16035" spans="1:2">
      <c r="A16035" s="55"/>
      <c r="B16035"/>
    </row>
    <row r="16036" spans="1:2">
      <c r="A16036" s="55"/>
      <c r="B16036"/>
    </row>
    <row r="16037" spans="1:2">
      <c r="A16037" s="55"/>
      <c r="B16037"/>
    </row>
    <row r="16038" spans="1:2">
      <c r="A16038" s="55"/>
      <c r="B16038"/>
    </row>
    <row r="16039" spans="1:2">
      <c r="A16039" s="55"/>
      <c r="B16039"/>
    </row>
    <row r="16040" spans="1:2">
      <c r="A16040" s="55"/>
      <c r="B16040"/>
    </row>
    <row r="16041" spans="1:2">
      <c r="A16041" s="55"/>
      <c r="B16041"/>
    </row>
    <row r="16042" spans="1:2">
      <c r="A16042" s="55"/>
      <c r="B16042"/>
    </row>
    <row r="16043" spans="1:2">
      <c r="A16043" s="55"/>
      <c r="B16043"/>
    </row>
    <row r="16044" spans="1:2">
      <c r="A16044" s="55"/>
      <c r="B16044"/>
    </row>
    <row r="16045" spans="1:2">
      <c r="A16045" s="55"/>
      <c r="B16045"/>
    </row>
    <row r="16046" spans="1:2">
      <c r="A16046" s="55"/>
      <c r="B16046"/>
    </row>
    <row r="16047" spans="1:2">
      <c r="A16047" s="55"/>
      <c r="B16047"/>
    </row>
    <row r="16048" spans="1:2">
      <c r="A16048" s="55"/>
      <c r="B16048"/>
    </row>
    <row r="16049" spans="1:2">
      <c r="A16049" s="55"/>
      <c r="B16049"/>
    </row>
    <row r="16050" spans="1:2">
      <c r="A16050" s="55"/>
      <c r="B16050"/>
    </row>
    <row r="16051" spans="1:2">
      <c r="A16051" s="55"/>
      <c r="B16051"/>
    </row>
    <row r="16052" spans="1:2">
      <c r="A16052" s="55"/>
      <c r="B16052"/>
    </row>
    <row r="16053" spans="1:2">
      <c r="A16053" s="55"/>
      <c r="B16053"/>
    </row>
    <row r="16054" spans="1:2">
      <c r="A16054" s="55"/>
      <c r="B16054"/>
    </row>
    <row r="16055" spans="1:2">
      <c r="A16055" s="55"/>
      <c r="B16055"/>
    </row>
    <row r="16056" spans="1:2">
      <c r="A16056" s="55"/>
      <c r="B16056"/>
    </row>
    <row r="16057" spans="1:2">
      <c r="A16057" s="55"/>
      <c r="B16057"/>
    </row>
    <row r="16058" spans="1:2">
      <c r="A16058" s="55"/>
      <c r="B16058"/>
    </row>
    <row r="16059" spans="1:2">
      <c r="A16059" s="55"/>
      <c r="B16059"/>
    </row>
    <row r="16060" spans="1:2">
      <c r="A16060" s="55"/>
      <c r="B16060"/>
    </row>
    <row r="16061" spans="1:2">
      <c r="A16061" s="55"/>
      <c r="B16061"/>
    </row>
    <row r="16062" spans="1:2">
      <c r="A16062" s="55"/>
      <c r="B16062"/>
    </row>
    <row r="16063" spans="1:2">
      <c r="A16063" s="55"/>
      <c r="B16063"/>
    </row>
    <row r="16064" spans="1:2">
      <c r="A16064" s="55"/>
      <c r="B16064"/>
    </row>
    <row r="16065" spans="1:2">
      <c r="A16065" s="55"/>
      <c r="B16065"/>
    </row>
    <row r="16066" spans="1:2">
      <c r="A16066" s="55"/>
      <c r="B16066"/>
    </row>
    <row r="16067" spans="1:2">
      <c r="A16067" s="55"/>
      <c r="B16067"/>
    </row>
    <row r="16068" spans="1:2">
      <c r="A16068" s="55"/>
      <c r="B16068"/>
    </row>
    <row r="16069" spans="1:2">
      <c r="A16069" s="55"/>
      <c r="B16069"/>
    </row>
    <row r="16070" spans="1:2">
      <c r="A16070" s="55"/>
      <c r="B16070"/>
    </row>
    <row r="16071" spans="1:2">
      <c r="A16071" s="55"/>
      <c r="B16071"/>
    </row>
    <row r="16072" spans="1:2">
      <c r="A16072" s="55"/>
      <c r="B16072"/>
    </row>
    <row r="16073" spans="1:2">
      <c r="A16073" s="55"/>
      <c r="B16073"/>
    </row>
    <row r="16074" spans="1:2">
      <c r="A16074" s="55"/>
      <c r="B16074"/>
    </row>
    <row r="16075" spans="1:2">
      <c r="A16075" s="55"/>
      <c r="B16075"/>
    </row>
    <row r="16076" spans="1:2">
      <c r="A16076" s="55"/>
      <c r="B16076"/>
    </row>
    <row r="16077" spans="1:2">
      <c r="A16077" s="55"/>
      <c r="B16077"/>
    </row>
    <row r="16078" spans="1:2">
      <c r="A16078" s="55"/>
      <c r="B16078"/>
    </row>
    <row r="16079" spans="1:2">
      <c r="A16079" s="55"/>
      <c r="B16079"/>
    </row>
    <row r="16080" spans="1:2">
      <c r="A16080" s="55"/>
      <c r="B16080"/>
    </row>
    <row r="16081" spans="1:2">
      <c r="A16081" s="55"/>
      <c r="B16081"/>
    </row>
    <row r="16082" spans="1:2">
      <c r="A16082" s="55"/>
      <c r="B16082"/>
    </row>
    <row r="16083" spans="1:2">
      <c r="A16083" s="55"/>
      <c r="B16083"/>
    </row>
    <row r="16084" spans="1:2">
      <c r="A16084" s="55"/>
      <c r="B16084"/>
    </row>
    <row r="16085" spans="1:2">
      <c r="A16085" s="55"/>
      <c r="B16085"/>
    </row>
    <row r="16086" spans="1:2">
      <c r="A16086" s="55"/>
      <c r="B16086"/>
    </row>
    <row r="16087" spans="1:2">
      <c r="A16087" s="55"/>
      <c r="B16087"/>
    </row>
    <row r="16088" spans="1:2">
      <c r="A16088" s="55"/>
      <c r="B16088"/>
    </row>
    <row r="16089" spans="1:2">
      <c r="A16089" s="55"/>
      <c r="B16089"/>
    </row>
    <row r="16090" spans="1:2">
      <c r="A16090" s="55"/>
      <c r="B16090"/>
    </row>
    <row r="16091" spans="1:2">
      <c r="A16091" s="55"/>
      <c r="B16091"/>
    </row>
    <row r="16092" spans="1:2">
      <c r="A16092" s="55"/>
      <c r="B16092"/>
    </row>
    <row r="16093" spans="1:2">
      <c r="A16093" s="55"/>
      <c r="B16093"/>
    </row>
    <row r="16094" spans="1:2">
      <c r="A16094" s="55"/>
      <c r="B16094"/>
    </row>
    <row r="16095" spans="1:2">
      <c r="A16095" s="55"/>
      <c r="B16095"/>
    </row>
    <row r="16096" spans="1:2">
      <c r="A16096" s="55"/>
      <c r="B16096"/>
    </row>
    <row r="16097" spans="1:2">
      <c r="A16097" s="55"/>
      <c r="B16097"/>
    </row>
    <row r="16098" spans="1:2">
      <c r="A16098" s="55"/>
      <c r="B16098"/>
    </row>
    <row r="16099" spans="1:2">
      <c r="A16099" s="55"/>
      <c r="B16099"/>
    </row>
    <row r="16100" spans="1:2">
      <c r="A16100" s="55"/>
      <c r="B16100"/>
    </row>
    <row r="16101" spans="1:2">
      <c r="A16101" s="55"/>
      <c r="B16101"/>
    </row>
    <row r="16102" spans="1:2">
      <c r="A16102" s="55"/>
      <c r="B16102"/>
    </row>
    <row r="16103" spans="1:2">
      <c r="A16103" s="55"/>
      <c r="B16103"/>
    </row>
    <row r="16104" spans="1:2">
      <c r="A16104" s="55"/>
      <c r="B16104"/>
    </row>
    <row r="16105" spans="1:2">
      <c r="A16105" s="55"/>
      <c r="B16105"/>
    </row>
    <row r="16106" spans="1:2">
      <c r="A16106" s="55"/>
      <c r="B16106"/>
    </row>
    <row r="16107" spans="1:2">
      <c r="A16107" s="55"/>
      <c r="B16107"/>
    </row>
    <row r="16108" spans="1:2">
      <c r="A16108" s="55"/>
      <c r="B16108"/>
    </row>
    <row r="16109" spans="1:2">
      <c r="A16109" s="55"/>
      <c r="B16109"/>
    </row>
    <row r="16110" spans="1:2">
      <c r="A16110" s="55"/>
      <c r="B16110"/>
    </row>
    <row r="16111" spans="1:2">
      <c r="A16111" s="55"/>
      <c r="B16111"/>
    </row>
    <row r="16112" spans="1:2">
      <c r="A16112" s="55"/>
      <c r="B16112"/>
    </row>
    <row r="16113" spans="1:2">
      <c r="A16113" s="55"/>
      <c r="B16113"/>
    </row>
    <row r="16114" spans="1:2">
      <c r="A16114" s="55"/>
      <c r="B16114"/>
    </row>
    <row r="16115" spans="1:2">
      <c r="A16115" s="55"/>
      <c r="B16115"/>
    </row>
    <row r="16116" spans="1:2">
      <c r="A16116" s="55"/>
      <c r="B16116"/>
    </row>
    <row r="16117" spans="1:2">
      <c r="A16117" s="55"/>
      <c r="B16117"/>
    </row>
    <row r="16118" spans="1:2">
      <c r="A16118" s="55"/>
      <c r="B16118"/>
    </row>
    <row r="16119" spans="1:2">
      <c r="A16119" s="55"/>
      <c r="B16119"/>
    </row>
    <row r="16120" spans="1:2">
      <c r="A16120" s="55"/>
      <c r="B16120"/>
    </row>
    <row r="16121" spans="1:2">
      <c r="A16121" s="55"/>
      <c r="B16121"/>
    </row>
    <row r="16122" spans="1:2">
      <c r="A16122" s="55"/>
      <c r="B16122"/>
    </row>
    <row r="16123" spans="1:2">
      <c r="A16123" s="55"/>
      <c r="B16123"/>
    </row>
    <row r="16124" spans="1:2">
      <c r="A16124" s="55"/>
      <c r="B16124"/>
    </row>
    <row r="16125" spans="1:2">
      <c r="A16125" s="55"/>
      <c r="B16125"/>
    </row>
    <row r="16126" spans="1:2">
      <c r="A16126" s="55"/>
      <c r="B16126"/>
    </row>
    <row r="16127" spans="1:2">
      <c r="A16127" s="55"/>
      <c r="B16127"/>
    </row>
    <row r="16128" spans="1:2">
      <c r="A16128" s="55"/>
      <c r="B16128"/>
    </row>
    <row r="16129" spans="1:2">
      <c r="A16129" s="55"/>
      <c r="B16129"/>
    </row>
    <row r="16130" spans="1:2">
      <c r="A16130" s="55"/>
      <c r="B16130"/>
    </row>
    <row r="16131" spans="1:2">
      <c r="A16131" s="55"/>
      <c r="B16131"/>
    </row>
    <row r="16132" spans="1:2">
      <c r="A16132" s="55"/>
      <c r="B16132"/>
    </row>
    <row r="16133" spans="1:2">
      <c r="A16133" s="55"/>
      <c r="B16133"/>
    </row>
    <row r="16134" spans="1:2">
      <c r="A16134" s="55"/>
      <c r="B16134"/>
    </row>
    <row r="16135" spans="1:2">
      <c r="A16135" s="55"/>
      <c r="B16135"/>
    </row>
    <row r="16136" spans="1:2">
      <c r="A16136" s="55"/>
      <c r="B16136"/>
    </row>
    <row r="16137" spans="1:2">
      <c r="A16137" s="55"/>
      <c r="B16137"/>
    </row>
    <row r="16138" spans="1:2">
      <c r="A16138" s="55"/>
      <c r="B16138"/>
    </row>
    <row r="16139" spans="1:2">
      <c r="A16139" s="55"/>
      <c r="B16139"/>
    </row>
    <row r="16140" spans="1:2">
      <c r="A16140" s="55"/>
      <c r="B16140"/>
    </row>
    <row r="16141" spans="1:2">
      <c r="A16141" s="55"/>
      <c r="B16141"/>
    </row>
    <row r="16142" spans="1:2">
      <c r="A16142" s="55"/>
      <c r="B16142"/>
    </row>
    <row r="16143" spans="1:2">
      <c r="A16143" s="55"/>
      <c r="B16143"/>
    </row>
    <row r="16144" spans="1:2">
      <c r="A16144" s="55"/>
      <c r="B16144"/>
    </row>
    <row r="16145" spans="1:2">
      <c r="A16145" s="55"/>
      <c r="B16145"/>
    </row>
    <row r="16146" spans="1:2">
      <c r="A16146" s="55"/>
      <c r="B16146"/>
    </row>
    <row r="16147" spans="1:2">
      <c r="A16147" s="55"/>
      <c r="B16147"/>
    </row>
    <row r="16148" spans="1:2">
      <c r="A16148" s="55"/>
      <c r="B16148"/>
    </row>
    <row r="16149" spans="1:2">
      <c r="A16149" s="55"/>
      <c r="B16149"/>
    </row>
    <row r="16150" spans="1:2">
      <c r="A16150" s="55"/>
      <c r="B16150"/>
    </row>
    <row r="16151" spans="1:2">
      <c r="A16151" s="55"/>
      <c r="B16151"/>
    </row>
    <row r="16152" spans="1:2">
      <c r="A16152" s="55"/>
      <c r="B16152"/>
    </row>
    <row r="16153" spans="1:2">
      <c r="A16153" s="55"/>
      <c r="B16153"/>
    </row>
    <row r="16154" spans="1:2">
      <c r="A16154" s="55"/>
      <c r="B16154"/>
    </row>
    <row r="16155" spans="1:2">
      <c r="A16155" s="55"/>
      <c r="B16155"/>
    </row>
    <row r="16156" spans="1:2">
      <c r="A16156" s="55"/>
      <c r="B16156"/>
    </row>
    <row r="16157" spans="1:2">
      <c r="A16157" s="55"/>
      <c r="B16157"/>
    </row>
    <row r="16158" spans="1:2">
      <c r="A16158" s="55"/>
      <c r="B16158"/>
    </row>
    <row r="16159" spans="1:2">
      <c r="A16159" s="55"/>
      <c r="B16159"/>
    </row>
    <row r="16160" spans="1:2">
      <c r="A16160" s="55"/>
      <c r="B16160"/>
    </row>
    <row r="16161" spans="1:2">
      <c r="A16161" s="55"/>
      <c r="B16161"/>
    </row>
    <row r="16162" spans="1:2">
      <c r="A16162" s="55"/>
      <c r="B16162"/>
    </row>
    <row r="16163" spans="1:2">
      <c r="A16163" s="55"/>
      <c r="B16163"/>
    </row>
    <row r="16164" spans="1:2">
      <c r="A16164" s="55"/>
      <c r="B16164"/>
    </row>
    <row r="16165" spans="1:2">
      <c r="A16165" s="55"/>
      <c r="B16165"/>
    </row>
    <row r="16166" spans="1:2">
      <c r="A16166" s="55"/>
      <c r="B16166"/>
    </row>
    <row r="16167" spans="1:2">
      <c r="A16167" s="55"/>
      <c r="B16167"/>
    </row>
    <row r="16168" spans="1:2">
      <c r="A16168" s="55"/>
      <c r="B16168"/>
    </row>
    <row r="16169" spans="1:2">
      <c r="A16169" s="55"/>
      <c r="B16169"/>
    </row>
    <row r="16170" spans="1:2">
      <c r="A16170" s="55"/>
      <c r="B16170"/>
    </row>
    <row r="16171" spans="1:2">
      <c r="A16171" s="55"/>
      <c r="B16171"/>
    </row>
    <row r="16172" spans="1:2">
      <c r="A16172" s="55"/>
      <c r="B16172"/>
    </row>
    <row r="16173" spans="1:2">
      <c r="A16173" s="55"/>
      <c r="B16173"/>
    </row>
    <row r="16174" spans="1:2">
      <c r="A16174" s="55"/>
      <c r="B16174"/>
    </row>
    <row r="16175" spans="1:2">
      <c r="A16175" s="55"/>
      <c r="B16175"/>
    </row>
    <row r="16176" spans="1:2">
      <c r="A16176" s="55"/>
      <c r="B16176"/>
    </row>
    <row r="16177" spans="1:2">
      <c r="A16177" s="55"/>
      <c r="B16177"/>
    </row>
    <row r="16178" spans="1:2">
      <c r="A16178" s="55"/>
      <c r="B16178"/>
    </row>
    <row r="16179" spans="1:2">
      <c r="A16179" s="55"/>
      <c r="B16179"/>
    </row>
    <row r="16180" spans="1:2">
      <c r="A16180" s="55"/>
      <c r="B16180"/>
    </row>
    <row r="16181" spans="1:2">
      <c r="A16181" s="55"/>
      <c r="B16181"/>
    </row>
    <row r="16182" spans="1:2">
      <c r="A16182" s="55"/>
      <c r="B16182"/>
    </row>
    <row r="16183" spans="1:2">
      <c r="A16183" s="55"/>
      <c r="B16183"/>
    </row>
    <row r="16184" spans="1:2">
      <c r="A16184" s="55"/>
      <c r="B16184"/>
    </row>
    <row r="16185" spans="1:2">
      <c r="A16185" s="55"/>
      <c r="B16185"/>
    </row>
    <row r="16186" spans="1:2">
      <c r="A16186" s="55"/>
      <c r="B16186"/>
    </row>
    <row r="16187" spans="1:2">
      <c r="A16187" s="55"/>
      <c r="B16187"/>
    </row>
    <row r="16188" spans="1:2">
      <c r="A16188" s="55"/>
      <c r="B16188"/>
    </row>
    <row r="16189" spans="1:2">
      <c r="A16189" s="55"/>
      <c r="B16189"/>
    </row>
    <row r="16190" spans="1:2">
      <c r="A16190" s="55"/>
      <c r="B16190"/>
    </row>
    <row r="16191" spans="1:2">
      <c r="A16191" s="55"/>
      <c r="B16191"/>
    </row>
    <row r="16192" spans="1:2">
      <c r="A16192" s="55"/>
      <c r="B16192"/>
    </row>
    <row r="16193" spans="1:2">
      <c r="A16193" s="55"/>
      <c r="B16193"/>
    </row>
    <row r="16194" spans="1:2">
      <c r="A16194" s="55"/>
      <c r="B16194"/>
    </row>
    <row r="16195" spans="1:2">
      <c r="A16195" s="55"/>
      <c r="B16195"/>
    </row>
    <row r="16196" spans="1:2">
      <c r="A16196" s="55"/>
      <c r="B16196"/>
    </row>
    <row r="16197" spans="1:2">
      <c r="A16197" s="55"/>
      <c r="B16197"/>
    </row>
    <row r="16198" spans="1:2">
      <c r="A16198" s="55"/>
      <c r="B16198"/>
    </row>
    <row r="16199" spans="1:2">
      <c r="A16199" s="55"/>
      <c r="B16199"/>
    </row>
    <row r="16200" spans="1:2">
      <c r="A16200" s="55"/>
      <c r="B16200"/>
    </row>
    <row r="16201" spans="1:2">
      <c r="A16201" s="55"/>
      <c r="B16201"/>
    </row>
    <row r="16202" spans="1:2">
      <c r="A16202" s="55"/>
      <c r="B16202"/>
    </row>
    <row r="16203" spans="1:2">
      <c r="A16203" s="55"/>
      <c r="B16203"/>
    </row>
    <row r="16204" spans="1:2">
      <c r="A16204" s="55"/>
      <c r="B16204"/>
    </row>
    <row r="16205" spans="1:2">
      <c r="A16205" s="55"/>
      <c r="B16205"/>
    </row>
    <row r="16206" spans="1:2">
      <c r="A16206" s="55"/>
      <c r="B16206"/>
    </row>
    <row r="16207" spans="1:2">
      <c r="A16207" s="55"/>
      <c r="B16207"/>
    </row>
    <row r="16208" spans="1:2">
      <c r="A16208" s="55"/>
      <c r="B16208"/>
    </row>
    <row r="16209" spans="1:2">
      <c r="A16209" s="55"/>
      <c r="B16209"/>
    </row>
    <row r="16210" spans="1:2">
      <c r="A16210" s="55"/>
      <c r="B16210"/>
    </row>
    <row r="16211" spans="1:2">
      <c r="A16211" s="55"/>
      <c r="B16211"/>
    </row>
    <row r="16212" spans="1:2">
      <c r="A16212" s="55"/>
      <c r="B16212"/>
    </row>
    <row r="16213" spans="1:2">
      <c r="A16213" s="55"/>
      <c r="B16213"/>
    </row>
    <row r="16214" spans="1:2">
      <c r="A16214" s="55"/>
      <c r="B16214"/>
    </row>
    <row r="16215" spans="1:2">
      <c r="A16215" s="55"/>
      <c r="B16215"/>
    </row>
    <row r="16216" spans="1:2">
      <c r="A16216" s="55"/>
      <c r="B16216"/>
    </row>
    <row r="16217" spans="1:2">
      <c r="A16217" s="55"/>
      <c r="B16217"/>
    </row>
    <row r="16218" spans="1:2">
      <c r="A16218" s="55"/>
      <c r="B16218"/>
    </row>
    <row r="16219" spans="1:2">
      <c r="A16219" s="55"/>
      <c r="B16219"/>
    </row>
    <row r="16220" spans="1:2">
      <c r="A16220" s="55"/>
      <c r="B16220"/>
    </row>
    <row r="16221" spans="1:2">
      <c r="A16221" s="55"/>
      <c r="B16221"/>
    </row>
    <row r="16222" spans="1:2">
      <c r="A16222" s="55"/>
      <c r="B16222"/>
    </row>
    <row r="16223" spans="1:2">
      <c r="A16223" s="55"/>
      <c r="B16223"/>
    </row>
    <row r="16224" spans="1:2">
      <c r="A16224" s="55"/>
      <c r="B16224"/>
    </row>
    <row r="16225" spans="1:2">
      <c r="A16225" s="55"/>
      <c r="B16225"/>
    </row>
    <row r="16226" spans="1:2">
      <c r="A16226" s="55"/>
      <c r="B16226"/>
    </row>
    <row r="16227" spans="1:2">
      <c r="A16227" s="55"/>
      <c r="B16227"/>
    </row>
    <row r="16228" spans="1:2">
      <c r="A16228" s="55"/>
      <c r="B16228"/>
    </row>
    <row r="16229" spans="1:2">
      <c r="A16229" s="55"/>
      <c r="B16229"/>
    </row>
    <row r="16230" spans="1:2">
      <c r="A16230" s="55"/>
      <c r="B16230"/>
    </row>
    <row r="16231" spans="1:2">
      <c r="A16231" s="55"/>
      <c r="B16231"/>
    </row>
    <row r="16232" spans="1:2">
      <c r="A16232" s="55"/>
      <c r="B16232"/>
    </row>
    <row r="16233" spans="1:2">
      <c r="A16233" s="55"/>
      <c r="B16233"/>
    </row>
    <row r="16234" spans="1:2">
      <c r="A16234" s="55"/>
      <c r="B16234"/>
    </row>
    <row r="16235" spans="1:2">
      <c r="A16235" s="55"/>
      <c r="B16235"/>
    </row>
    <row r="16236" spans="1:2">
      <c r="A16236" s="55"/>
      <c r="B16236"/>
    </row>
    <row r="16237" spans="1:2">
      <c r="A16237" s="55"/>
      <c r="B16237"/>
    </row>
    <row r="16238" spans="1:2">
      <c r="A16238" s="55"/>
      <c r="B16238"/>
    </row>
    <row r="16239" spans="1:2">
      <c r="A16239" s="55"/>
      <c r="B16239"/>
    </row>
    <row r="16240" spans="1:2">
      <c r="A16240" s="55"/>
      <c r="B16240"/>
    </row>
    <row r="16241" spans="1:2">
      <c r="A16241" s="55"/>
      <c r="B16241"/>
    </row>
    <row r="16242" spans="1:2">
      <c r="A16242" s="55"/>
      <c r="B16242"/>
    </row>
    <row r="16243" spans="1:2">
      <c r="A16243" s="55"/>
      <c r="B16243"/>
    </row>
    <row r="16244" spans="1:2">
      <c r="A16244" s="55"/>
      <c r="B16244"/>
    </row>
    <row r="16245" spans="1:2">
      <c r="A16245" s="55"/>
      <c r="B16245"/>
    </row>
    <row r="16246" spans="1:2">
      <c r="A16246" s="55"/>
      <c r="B16246"/>
    </row>
    <row r="16247" spans="1:2">
      <c r="A16247" s="55"/>
      <c r="B16247"/>
    </row>
    <row r="16248" spans="1:2">
      <c r="A16248" s="55"/>
      <c r="B16248"/>
    </row>
    <row r="16249" spans="1:2">
      <c r="A16249" s="55"/>
      <c r="B16249"/>
    </row>
    <row r="16250" spans="1:2">
      <c r="A16250" s="55"/>
      <c r="B16250"/>
    </row>
    <row r="16251" spans="1:2">
      <c r="A16251" s="55"/>
      <c r="B16251"/>
    </row>
    <row r="16252" spans="1:2">
      <c r="A16252" s="55"/>
      <c r="B16252"/>
    </row>
    <row r="16253" spans="1:2">
      <c r="A16253" s="55"/>
      <c r="B16253"/>
    </row>
    <row r="16254" spans="1:2">
      <c r="A16254" s="55"/>
      <c r="B16254"/>
    </row>
    <row r="16255" spans="1:2">
      <c r="A16255" s="55"/>
      <c r="B16255"/>
    </row>
    <row r="16256" spans="1:2">
      <c r="A16256" s="55"/>
      <c r="B16256"/>
    </row>
    <row r="16257" spans="1:2">
      <c r="A16257" s="55"/>
      <c r="B16257"/>
    </row>
    <row r="16258" spans="1:2">
      <c r="A16258" s="55"/>
      <c r="B16258"/>
    </row>
    <row r="16259" spans="1:2">
      <c r="A16259" s="55"/>
      <c r="B16259"/>
    </row>
    <row r="16260" spans="1:2">
      <c r="A16260" s="55"/>
      <c r="B16260"/>
    </row>
    <row r="16261" spans="1:2">
      <c r="A16261" s="55"/>
      <c r="B16261"/>
    </row>
    <row r="16262" spans="1:2">
      <c r="A16262" s="55"/>
      <c r="B16262"/>
    </row>
    <row r="16263" spans="1:2">
      <c r="A16263" s="55"/>
      <c r="B16263"/>
    </row>
    <row r="16264" spans="1:2">
      <c r="A16264" s="55"/>
      <c r="B16264"/>
    </row>
    <row r="16265" spans="1:2">
      <c r="A16265" s="55"/>
      <c r="B16265"/>
    </row>
    <row r="16266" spans="1:2">
      <c r="A16266" s="55"/>
      <c r="B16266"/>
    </row>
    <row r="16267" spans="1:2">
      <c r="A16267" s="55"/>
      <c r="B16267"/>
    </row>
    <row r="16268" spans="1:2">
      <c r="A16268" s="55"/>
      <c r="B16268"/>
    </row>
    <row r="16269" spans="1:2">
      <c r="A16269" s="55"/>
      <c r="B16269"/>
    </row>
    <row r="16270" spans="1:2">
      <c r="A16270" s="55"/>
      <c r="B16270"/>
    </row>
    <row r="16271" spans="1:2">
      <c r="A16271" s="55"/>
      <c r="B16271"/>
    </row>
    <row r="16272" spans="1:2">
      <c r="A16272" s="55"/>
      <c r="B16272"/>
    </row>
    <row r="16273" spans="1:2">
      <c r="A16273" s="55"/>
      <c r="B16273"/>
    </row>
    <row r="16274" spans="1:2">
      <c r="A16274" s="55"/>
      <c r="B16274"/>
    </row>
    <row r="16275" spans="1:2">
      <c r="A16275" s="55"/>
      <c r="B16275"/>
    </row>
    <row r="16276" spans="1:2">
      <c r="A16276" s="55"/>
      <c r="B16276"/>
    </row>
    <row r="16277" spans="1:2">
      <c r="A16277" s="55"/>
      <c r="B16277"/>
    </row>
    <row r="16278" spans="1:2">
      <c r="A16278" s="55"/>
      <c r="B16278"/>
    </row>
    <row r="16279" spans="1:2">
      <c r="A16279" s="55"/>
      <c r="B16279"/>
    </row>
    <row r="16280" spans="1:2">
      <c r="A16280" s="55"/>
      <c r="B16280"/>
    </row>
    <row r="16281" spans="1:2">
      <c r="A16281" s="55"/>
      <c r="B16281"/>
    </row>
    <row r="16282" spans="1:2">
      <c r="A16282" s="55"/>
      <c r="B16282"/>
    </row>
    <row r="16283" spans="1:2">
      <c r="A16283" s="55"/>
      <c r="B16283"/>
    </row>
    <row r="16284" spans="1:2">
      <c r="A16284" s="55"/>
      <c r="B16284"/>
    </row>
    <row r="16285" spans="1:2">
      <c r="A16285" s="55"/>
      <c r="B16285"/>
    </row>
    <row r="16286" spans="1:2">
      <c r="A16286" s="55"/>
      <c r="B16286"/>
    </row>
    <row r="16287" spans="1:2">
      <c r="A16287" s="55"/>
      <c r="B16287"/>
    </row>
    <row r="16288" spans="1:2">
      <c r="A16288" s="55"/>
      <c r="B16288"/>
    </row>
    <row r="16289" spans="1:2">
      <c r="A16289" s="55"/>
      <c r="B16289"/>
    </row>
    <row r="16290" spans="1:2">
      <c r="A16290" s="55"/>
      <c r="B16290"/>
    </row>
    <row r="16291" spans="1:2">
      <c r="A16291" s="55"/>
      <c r="B16291"/>
    </row>
    <row r="16292" spans="1:2">
      <c r="A16292" s="55"/>
      <c r="B16292"/>
    </row>
    <row r="16293" spans="1:2">
      <c r="A16293" s="55"/>
      <c r="B16293"/>
    </row>
    <row r="16294" spans="1:2">
      <c r="A16294" s="55"/>
      <c r="B16294"/>
    </row>
    <row r="16295" spans="1:2">
      <c r="A16295" s="55"/>
      <c r="B16295"/>
    </row>
    <row r="16296" spans="1:2">
      <c r="A16296" s="55"/>
      <c r="B16296"/>
    </row>
    <row r="16297" spans="1:2">
      <c r="A16297" s="55"/>
      <c r="B16297"/>
    </row>
    <row r="16298" spans="1:2">
      <c r="A16298" s="55"/>
      <c r="B16298"/>
    </row>
    <row r="16299" spans="1:2">
      <c r="A16299" s="55"/>
      <c r="B16299"/>
    </row>
    <row r="16300" spans="1:2">
      <c r="A16300" s="55"/>
      <c r="B16300"/>
    </row>
    <row r="16301" spans="1:2">
      <c r="A16301" s="55"/>
      <c r="B16301"/>
    </row>
    <row r="16302" spans="1:2">
      <c r="A16302" s="55"/>
      <c r="B16302"/>
    </row>
    <row r="16303" spans="1:2">
      <c r="A16303" s="55"/>
      <c r="B16303"/>
    </row>
    <row r="16304" spans="1:2">
      <c r="A16304" s="55"/>
      <c r="B16304"/>
    </row>
    <row r="16305" spans="1:2">
      <c r="A16305" s="55"/>
      <c r="B16305"/>
    </row>
    <row r="16306" spans="1:2">
      <c r="A16306" s="55"/>
      <c r="B16306"/>
    </row>
    <row r="16307" spans="1:2">
      <c r="A16307" s="55"/>
      <c r="B16307"/>
    </row>
    <row r="16308" spans="1:2">
      <c r="A16308" s="55"/>
      <c r="B16308"/>
    </row>
    <row r="16309" spans="1:2">
      <c r="A16309" s="55"/>
      <c r="B16309"/>
    </row>
    <row r="16310" spans="1:2">
      <c r="A16310" s="55"/>
      <c r="B16310"/>
    </row>
    <row r="16311" spans="1:2">
      <c r="A16311" s="55"/>
      <c r="B16311"/>
    </row>
    <row r="16312" spans="1:2">
      <c r="A16312" s="55"/>
      <c r="B16312"/>
    </row>
    <row r="16313" spans="1:2">
      <c r="A16313" s="55"/>
      <c r="B16313"/>
    </row>
    <row r="16314" spans="1:2">
      <c r="A16314" s="55"/>
      <c r="B16314"/>
    </row>
    <row r="16315" spans="1:2">
      <c r="A16315" s="55"/>
      <c r="B16315"/>
    </row>
    <row r="16316" spans="1:2">
      <c r="A16316" s="55"/>
      <c r="B16316"/>
    </row>
    <row r="16317" spans="1:2">
      <c r="A16317" s="55"/>
      <c r="B16317"/>
    </row>
    <row r="16318" spans="1:2">
      <c r="A16318" s="55"/>
      <c r="B16318"/>
    </row>
    <row r="16319" spans="1:2">
      <c r="A16319" s="55"/>
      <c r="B16319"/>
    </row>
    <row r="16320" spans="1:2">
      <c r="A16320" s="55"/>
      <c r="B16320"/>
    </row>
    <row r="16321" spans="1:2">
      <c r="A16321" s="55"/>
      <c r="B16321"/>
    </row>
    <row r="16322" spans="1:2">
      <c r="A16322" s="55"/>
      <c r="B16322"/>
    </row>
    <row r="16323" spans="1:2">
      <c r="A16323" s="55"/>
      <c r="B16323"/>
    </row>
    <row r="16324" spans="1:2">
      <c r="A16324" s="55"/>
      <c r="B16324"/>
    </row>
    <row r="16325" spans="1:2">
      <c r="A16325" s="55"/>
      <c r="B16325"/>
    </row>
    <row r="16326" spans="1:2">
      <c r="A16326" s="55"/>
      <c r="B16326"/>
    </row>
    <row r="16327" spans="1:2">
      <c r="A16327" s="55"/>
      <c r="B16327"/>
    </row>
    <row r="16328" spans="1:2">
      <c r="A16328" s="55"/>
      <c r="B16328"/>
    </row>
    <row r="16329" spans="1:2">
      <c r="A16329" s="55"/>
      <c r="B16329"/>
    </row>
    <row r="16330" spans="1:2">
      <c r="A16330" s="55"/>
      <c r="B16330"/>
    </row>
    <row r="16331" spans="1:2">
      <c r="A16331" s="55"/>
      <c r="B16331"/>
    </row>
    <row r="16332" spans="1:2">
      <c r="A16332" s="55"/>
      <c r="B16332"/>
    </row>
    <row r="16333" spans="1:2">
      <c r="A16333" s="55"/>
      <c r="B16333"/>
    </row>
    <row r="16334" spans="1:2">
      <c r="A16334" s="55"/>
      <c r="B16334"/>
    </row>
    <row r="16335" spans="1:2">
      <c r="A16335" s="55"/>
      <c r="B16335"/>
    </row>
    <row r="16336" spans="1:2">
      <c r="A16336" s="55"/>
      <c r="B16336"/>
    </row>
    <row r="16337" spans="1:2">
      <c r="A16337" s="55"/>
      <c r="B16337"/>
    </row>
    <row r="16338" spans="1:2">
      <c r="A16338" s="55"/>
      <c r="B16338"/>
    </row>
    <row r="16339" spans="1:2">
      <c r="A16339" s="55"/>
      <c r="B16339"/>
    </row>
    <row r="16340" spans="1:2">
      <c r="A16340" s="55"/>
      <c r="B16340"/>
    </row>
    <row r="16341" spans="1:2">
      <c r="A16341" s="55"/>
      <c r="B16341"/>
    </row>
    <row r="16342" spans="1:2">
      <c r="A16342" s="55"/>
      <c r="B16342"/>
    </row>
    <row r="16343" spans="1:2">
      <c r="A16343" s="55"/>
      <c r="B16343"/>
    </row>
    <row r="16344" spans="1:2">
      <c r="A16344" s="55"/>
      <c r="B16344"/>
    </row>
    <row r="16345" spans="1:2">
      <c r="A16345" s="55"/>
      <c r="B16345"/>
    </row>
    <row r="16346" spans="1:2">
      <c r="A16346" s="55"/>
      <c r="B16346"/>
    </row>
    <row r="16347" spans="1:2">
      <c r="A16347" s="55"/>
      <c r="B16347"/>
    </row>
    <row r="16348" spans="1:2">
      <c r="A16348" s="55"/>
      <c r="B16348"/>
    </row>
    <row r="16349" spans="1:2">
      <c r="A16349" s="55"/>
      <c r="B16349"/>
    </row>
    <row r="16350" spans="1:2">
      <c r="A16350" s="55"/>
      <c r="B16350"/>
    </row>
    <row r="16351" spans="1:2">
      <c r="A16351" s="55"/>
      <c r="B16351"/>
    </row>
    <row r="16352" spans="1:2">
      <c r="A16352" s="55"/>
      <c r="B16352"/>
    </row>
    <row r="16353" spans="1:2">
      <c r="A16353" s="55"/>
      <c r="B16353"/>
    </row>
    <row r="16354" spans="1:2">
      <c r="A16354" s="55"/>
      <c r="B16354"/>
    </row>
    <row r="16355" spans="1:2">
      <c r="A16355" s="55"/>
      <c r="B16355"/>
    </row>
    <row r="16356" spans="1:2">
      <c r="A16356" s="55"/>
      <c r="B16356"/>
    </row>
    <row r="16357" spans="1:2">
      <c r="A16357" s="55"/>
      <c r="B16357"/>
    </row>
    <row r="16358" spans="1:2">
      <c r="A16358" s="55"/>
      <c r="B16358"/>
    </row>
    <row r="16359" spans="1:2">
      <c r="A16359" s="55"/>
      <c r="B16359"/>
    </row>
    <row r="16360" spans="1:2">
      <c r="A16360" s="55"/>
      <c r="B16360"/>
    </row>
    <row r="16361" spans="1:2">
      <c r="A16361" s="55"/>
      <c r="B16361"/>
    </row>
    <row r="16362" spans="1:2">
      <c r="A16362" s="55"/>
      <c r="B16362"/>
    </row>
    <row r="16363" spans="1:2">
      <c r="A16363" s="55"/>
      <c r="B16363"/>
    </row>
    <row r="16364" spans="1:2">
      <c r="A16364" s="55"/>
      <c r="B16364"/>
    </row>
    <row r="16365" spans="1:2">
      <c r="A16365" s="55"/>
      <c r="B16365"/>
    </row>
    <row r="16366" spans="1:2">
      <c r="A16366" s="55"/>
      <c r="B16366"/>
    </row>
    <row r="16367" spans="1:2">
      <c r="A16367" s="55"/>
      <c r="B16367"/>
    </row>
    <row r="16368" spans="1:2">
      <c r="A16368" s="55"/>
      <c r="B16368"/>
    </row>
    <row r="16369" spans="1:2">
      <c r="A16369" s="55"/>
      <c r="B16369"/>
    </row>
    <row r="16370" spans="1:2">
      <c r="A16370" s="55"/>
      <c r="B16370"/>
    </row>
    <row r="16371" spans="1:2">
      <c r="A16371" s="55"/>
      <c r="B16371"/>
    </row>
    <row r="16372" spans="1:2">
      <c r="A16372" s="55"/>
      <c r="B16372"/>
    </row>
    <row r="16373" spans="1:2">
      <c r="A16373" s="55"/>
      <c r="B16373"/>
    </row>
    <row r="16374" spans="1:2">
      <c r="A16374" s="55"/>
      <c r="B16374"/>
    </row>
    <row r="16375" spans="1:2">
      <c r="A16375" s="55"/>
      <c r="B16375"/>
    </row>
    <row r="16376" spans="1:2">
      <c r="A16376" s="55"/>
      <c r="B16376"/>
    </row>
    <row r="16377" spans="1:2">
      <c r="A16377" s="55"/>
      <c r="B16377"/>
    </row>
    <row r="16378" spans="1:2">
      <c r="A16378" s="55"/>
      <c r="B16378"/>
    </row>
    <row r="16379" spans="1:2">
      <c r="A16379" s="55"/>
      <c r="B16379"/>
    </row>
    <row r="16380" spans="1:2">
      <c r="A16380" s="55"/>
      <c r="B16380"/>
    </row>
    <row r="16381" spans="1:2">
      <c r="A16381" s="55"/>
      <c r="B16381"/>
    </row>
    <row r="16382" spans="1:2">
      <c r="A16382" s="55"/>
      <c r="B16382"/>
    </row>
    <row r="16383" spans="1:2">
      <c r="A16383" s="55"/>
      <c r="B16383"/>
    </row>
    <row r="16384" spans="1:2">
      <c r="A16384" s="55"/>
      <c r="B16384"/>
    </row>
    <row r="16385" spans="1:2">
      <c r="A16385" s="55"/>
      <c r="B16385"/>
    </row>
    <row r="16386" spans="1:2">
      <c r="A16386" s="55"/>
      <c r="B16386"/>
    </row>
    <row r="16387" spans="1:2">
      <c r="A16387" s="55"/>
      <c r="B16387"/>
    </row>
    <row r="16388" spans="1:2">
      <c r="A16388" s="55"/>
      <c r="B16388"/>
    </row>
    <row r="16389" spans="1:2">
      <c r="A16389" s="55"/>
      <c r="B16389"/>
    </row>
    <row r="16390" spans="1:2">
      <c r="A16390" s="55"/>
      <c r="B16390"/>
    </row>
    <row r="16391" spans="1:2">
      <c r="A16391" s="55"/>
      <c r="B16391"/>
    </row>
    <row r="16392" spans="1:2">
      <c r="A16392" s="55"/>
      <c r="B16392"/>
    </row>
    <row r="16393" spans="1:2">
      <c r="A16393" s="55"/>
      <c r="B16393"/>
    </row>
    <row r="16394" spans="1:2">
      <c r="A16394" s="55"/>
      <c r="B16394"/>
    </row>
    <row r="16395" spans="1:2">
      <c r="A16395" s="55"/>
      <c r="B16395"/>
    </row>
    <row r="16396" spans="1:2">
      <c r="A16396" s="55"/>
      <c r="B16396"/>
    </row>
    <row r="16397" spans="1:2">
      <c r="A16397" s="55"/>
      <c r="B16397"/>
    </row>
    <row r="16398" spans="1:2">
      <c r="A16398" s="55"/>
      <c r="B16398"/>
    </row>
    <row r="16399" spans="1:2">
      <c r="A16399" s="55"/>
      <c r="B16399"/>
    </row>
    <row r="16400" spans="1:2">
      <c r="A16400" s="55"/>
      <c r="B16400"/>
    </row>
    <row r="16401" spans="1:2">
      <c r="A16401" s="55"/>
      <c r="B16401"/>
    </row>
    <row r="16402" spans="1:2">
      <c r="A16402" s="55"/>
      <c r="B16402"/>
    </row>
    <row r="16403" spans="1:2">
      <c r="A16403" s="55"/>
      <c r="B16403"/>
    </row>
    <row r="16404" spans="1:2">
      <c r="A16404" s="55"/>
      <c r="B16404"/>
    </row>
    <row r="16405" spans="1:2">
      <c r="A16405" s="55"/>
      <c r="B16405"/>
    </row>
    <row r="16406" spans="1:2">
      <c r="A16406" s="55"/>
      <c r="B16406"/>
    </row>
    <row r="16407" spans="1:2">
      <c r="A16407" s="55"/>
      <c r="B16407"/>
    </row>
    <row r="16408" spans="1:2">
      <c r="A16408" s="55"/>
      <c r="B16408"/>
    </row>
    <row r="16409" spans="1:2">
      <c r="A16409" s="55"/>
      <c r="B16409"/>
    </row>
    <row r="16410" spans="1:2">
      <c r="A16410" s="55"/>
      <c r="B16410"/>
    </row>
    <row r="16411" spans="1:2">
      <c r="A16411" s="55"/>
      <c r="B16411"/>
    </row>
    <row r="16412" spans="1:2">
      <c r="A16412" s="55"/>
      <c r="B16412"/>
    </row>
    <row r="16413" spans="1:2">
      <c r="A16413" s="55"/>
      <c r="B16413"/>
    </row>
    <row r="16414" spans="1:2">
      <c r="A16414" s="55"/>
      <c r="B16414"/>
    </row>
    <row r="16415" spans="1:2">
      <c r="A16415" s="55"/>
      <c r="B16415"/>
    </row>
    <row r="16416" spans="1:2">
      <c r="A16416" s="55"/>
      <c r="B16416"/>
    </row>
    <row r="16417" spans="1:2">
      <c r="A16417" s="55"/>
      <c r="B16417"/>
    </row>
    <row r="16418" spans="1:2">
      <c r="A16418" s="55"/>
      <c r="B16418"/>
    </row>
    <row r="16419" spans="1:2">
      <c r="A16419" s="55"/>
      <c r="B16419"/>
    </row>
    <row r="16420" spans="1:2">
      <c r="A16420" s="55"/>
      <c r="B16420"/>
    </row>
    <row r="16421" spans="1:2">
      <c r="A16421" s="55"/>
      <c r="B16421"/>
    </row>
    <row r="16422" spans="1:2">
      <c r="A16422" s="55"/>
      <c r="B16422"/>
    </row>
    <row r="16423" spans="1:2">
      <c r="A16423" s="55"/>
      <c r="B16423"/>
    </row>
    <row r="16424" spans="1:2">
      <c r="A16424" s="55"/>
      <c r="B16424"/>
    </row>
    <row r="16425" spans="1:2">
      <c r="A16425" s="55"/>
      <c r="B16425"/>
    </row>
    <row r="16426" spans="1:2">
      <c r="A16426" s="55"/>
      <c r="B16426"/>
    </row>
    <row r="16427" spans="1:2">
      <c r="A16427" s="55"/>
      <c r="B16427"/>
    </row>
    <row r="16428" spans="1:2">
      <c r="A16428" s="55"/>
      <c r="B16428"/>
    </row>
    <row r="16429" spans="1:2">
      <c r="A16429" s="55"/>
      <c r="B16429"/>
    </row>
    <row r="16430" spans="1:2">
      <c r="A16430" s="55"/>
      <c r="B16430"/>
    </row>
    <row r="16431" spans="1:2">
      <c r="A16431" s="55"/>
      <c r="B16431"/>
    </row>
    <row r="16432" spans="1:2">
      <c r="A16432" s="55"/>
      <c r="B16432"/>
    </row>
    <row r="16433" spans="1:2">
      <c r="A16433" s="55"/>
      <c r="B16433"/>
    </row>
    <row r="16434" spans="1:2">
      <c r="A16434" s="55"/>
      <c r="B16434"/>
    </row>
    <row r="16435" spans="1:2">
      <c r="A16435" s="55"/>
      <c r="B16435"/>
    </row>
    <row r="16436" spans="1:2">
      <c r="A16436" s="55"/>
      <c r="B16436"/>
    </row>
    <row r="16437" spans="1:2">
      <c r="A16437" s="55"/>
      <c r="B16437"/>
    </row>
    <row r="16438" spans="1:2">
      <c r="A16438" s="55"/>
      <c r="B16438"/>
    </row>
    <row r="16439" spans="1:2">
      <c r="A16439" s="55"/>
      <c r="B16439"/>
    </row>
    <row r="16440" spans="1:2">
      <c r="A16440" s="55"/>
      <c r="B16440"/>
    </row>
    <row r="16441" spans="1:2">
      <c r="A16441" s="55"/>
      <c r="B16441"/>
    </row>
    <row r="16442" spans="1:2">
      <c r="A16442" s="55"/>
      <c r="B16442"/>
    </row>
    <row r="16443" spans="1:2">
      <c r="A16443" s="55"/>
      <c r="B16443"/>
    </row>
    <row r="16444" spans="1:2">
      <c r="A16444" s="55"/>
      <c r="B16444"/>
    </row>
    <row r="16445" spans="1:2">
      <c r="A16445" s="55"/>
      <c r="B16445"/>
    </row>
    <row r="16446" spans="1:2">
      <c r="A16446" s="55"/>
      <c r="B16446"/>
    </row>
    <row r="16447" spans="1:2">
      <c r="A16447" s="55"/>
      <c r="B16447"/>
    </row>
    <row r="16448" spans="1:2">
      <c r="A16448" s="55"/>
      <c r="B16448"/>
    </row>
    <row r="16449" spans="1:2">
      <c r="A16449" s="55"/>
      <c r="B16449"/>
    </row>
    <row r="16450" spans="1:2">
      <c r="A16450" s="55"/>
      <c r="B16450"/>
    </row>
    <row r="16451" spans="1:2">
      <c r="A16451" s="55"/>
      <c r="B16451"/>
    </row>
    <row r="16452" spans="1:2">
      <c r="A16452" s="55"/>
      <c r="B16452"/>
    </row>
    <row r="16453" spans="1:2">
      <c r="A16453" s="55"/>
      <c r="B16453"/>
    </row>
    <row r="16454" spans="1:2">
      <c r="A16454" s="55"/>
      <c r="B16454"/>
    </row>
    <row r="16455" spans="1:2">
      <c r="A16455" s="55"/>
      <c r="B16455"/>
    </row>
    <row r="16456" spans="1:2">
      <c r="A16456" s="55"/>
      <c r="B16456"/>
    </row>
    <row r="16457" spans="1:2">
      <c r="A16457" s="55"/>
      <c r="B16457"/>
    </row>
    <row r="16458" spans="1:2">
      <c r="A16458" s="55"/>
      <c r="B16458"/>
    </row>
    <row r="16459" spans="1:2">
      <c r="A16459" s="55"/>
      <c r="B16459"/>
    </row>
    <row r="16460" spans="1:2">
      <c r="A16460" s="55"/>
      <c r="B16460"/>
    </row>
    <row r="16461" spans="1:2">
      <c r="A16461" s="55"/>
      <c r="B16461"/>
    </row>
    <row r="16462" spans="1:2">
      <c r="A16462" s="55"/>
      <c r="B16462"/>
    </row>
    <row r="16463" spans="1:2">
      <c r="A16463" s="55"/>
      <c r="B16463"/>
    </row>
    <row r="16464" spans="1:2">
      <c r="A16464" s="55"/>
      <c r="B16464"/>
    </row>
    <row r="16465" spans="1:2">
      <c r="A16465" s="55"/>
      <c r="B16465"/>
    </row>
    <row r="16466" spans="1:2">
      <c r="A16466" s="55"/>
      <c r="B16466"/>
    </row>
    <row r="16467" spans="1:2">
      <c r="A16467" s="55"/>
      <c r="B16467"/>
    </row>
    <row r="16468" spans="1:2">
      <c r="A16468" s="55"/>
      <c r="B16468"/>
    </row>
    <row r="16469" spans="1:2">
      <c r="A16469" s="55"/>
      <c r="B16469"/>
    </row>
    <row r="16470" spans="1:2">
      <c r="A16470" s="55"/>
      <c r="B16470"/>
    </row>
    <row r="16471" spans="1:2">
      <c r="A16471" s="55"/>
      <c r="B16471"/>
    </row>
    <row r="16472" spans="1:2">
      <c r="A16472" s="55"/>
      <c r="B16472"/>
    </row>
    <row r="16473" spans="1:2">
      <c r="A16473" s="55"/>
      <c r="B16473"/>
    </row>
    <row r="16474" spans="1:2">
      <c r="A16474" s="55"/>
      <c r="B16474"/>
    </row>
    <row r="16475" spans="1:2">
      <c r="A16475" s="55"/>
      <c r="B16475"/>
    </row>
    <row r="16476" spans="1:2">
      <c r="A16476" s="55"/>
      <c r="B16476"/>
    </row>
    <row r="16477" spans="1:2">
      <c r="A16477" s="55"/>
      <c r="B16477"/>
    </row>
    <row r="16478" spans="1:2">
      <c r="A16478" s="55"/>
      <c r="B16478"/>
    </row>
    <row r="16479" spans="1:2">
      <c r="A16479" s="55"/>
      <c r="B16479"/>
    </row>
    <row r="16480" spans="1:2">
      <c r="A16480" s="55"/>
      <c r="B16480"/>
    </row>
    <row r="16481" spans="1:2">
      <c r="A16481" s="55"/>
      <c r="B16481"/>
    </row>
    <row r="16482" spans="1:2">
      <c r="A16482" s="55"/>
      <c r="B16482"/>
    </row>
    <row r="16483" spans="1:2">
      <c r="A16483" s="55"/>
      <c r="B16483"/>
    </row>
    <row r="16484" spans="1:2">
      <c r="A16484" s="55"/>
      <c r="B16484"/>
    </row>
    <row r="16485" spans="1:2">
      <c r="A16485" s="55"/>
      <c r="B16485"/>
    </row>
    <row r="16486" spans="1:2">
      <c r="A16486" s="55"/>
      <c r="B16486"/>
    </row>
    <row r="16487" spans="1:2">
      <c r="A16487" s="55"/>
      <c r="B16487"/>
    </row>
    <row r="16488" spans="1:2">
      <c r="A16488" s="55"/>
      <c r="B16488"/>
    </row>
    <row r="16489" spans="1:2">
      <c r="A16489" s="55"/>
      <c r="B16489"/>
    </row>
    <row r="16490" spans="1:2">
      <c r="A16490" s="55"/>
      <c r="B16490"/>
    </row>
    <row r="16491" spans="1:2">
      <c r="A16491" s="55"/>
      <c r="B16491"/>
    </row>
    <row r="16492" spans="1:2">
      <c r="A16492" s="55"/>
      <c r="B16492"/>
    </row>
    <row r="16493" spans="1:2">
      <c r="A16493" s="55"/>
      <c r="B16493"/>
    </row>
    <row r="16494" spans="1:2">
      <c r="A16494" s="55"/>
      <c r="B16494"/>
    </row>
    <row r="16495" spans="1:2">
      <c r="A16495" s="55"/>
      <c r="B16495"/>
    </row>
    <row r="16496" spans="1:2">
      <c r="A16496" s="55"/>
      <c r="B16496"/>
    </row>
    <row r="16497" spans="1:2">
      <c r="A16497" s="55"/>
      <c r="B16497"/>
    </row>
    <row r="16498" spans="1:2">
      <c r="A16498" s="55"/>
      <c r="B16498"/>
    </row>
    <row r="16499" spans="1:2">
      <c r="A16499" s="55"/>
      <c r="B16499"/>
    </row>
    <row r="16500" spans="1:2">
      <c r="A16500" s="55"/>
      <c r="B16500"/>
    </row>
    <row r="16501" spans="1:2">
      <c r="A16501" s="55"/>
      <c r="B16501"/>
    </row>
    <row r="16502" spans="1:2">
      <c r="A16502" s="55"/>
      <c r="B16502"/>
    </row>
    <row r="16503" spans="1:2">
      <c r="A16503" s="55"/>
      <c r="B16503"/>
    </row>
    <row r="16504" spans="1:2">
      <c r="A16504" s="55"/>
      <c r="B16504"/>
    </row>
    <row r="16505" spans="1:2">
      <c r="A16505" s="55"/>
      <c r="B16505"/>
    </row>
    <row r="16506" spans="1:2">
      <c r="A16506" s="55"/>
      <c r="B16506"/>
    </row>
    <row r="16507" spans="1:2">
      <c r="A16507" s="55"/>
      <c r="B16507"/>
    </row>
    <row r="16508" spans="1:2">
      <c r="A16508" s="55"/>
      <c r="B16508"/>
    </row>
    <row r="16509" spans="1:2">
      <c r="A16509" s="55"/>
      <c r="B16509"/>
    </row>
    <row r="16510" spans="1:2">
      <c r="A16510" s="55"/>
      <c r="B16510"/>
    </row>
    <row r="16511" spans="1:2">
      <c r="A16511" s="55"/>
      <c r="B16511"/>
    </row>
    <row r="16512" spans="1:2">
      <c r="A16512" s="55"/>
      <c r="B16512"/>
    </row>
    <row r="16513" spans="1:2">
      <c r="A16513" s="55"/>
      <c r="B16513"/>
    </row>
    <row r="16514" spans="1:2">
      <c r="A16514" s="55"/>
      <c r="B16514"/>
    </row>
    <row r="16515" spans="1:2">
      <c r="A16515" s="55"/>
      <c r="B16515"/>
    </row>
    <row r="16516" spans="1:2">
      <c r="A16516" s="55"/>
      <c r="B16516"/>
    </row>
    <row r="16517" spans="1:2">
      <c r="A16517" s="55"/>
      <c r="B16517"/>
    </row>
    <row r="16518" spans="1:2">
      <c r="A16518" s="55"/>
      <c r="B16518"/>
    </row>
    <row r="16519" spans="1:2">
      <c r="A16519" s="55"/>
      <c r="B16519"/>
    </row>
    <row r="16520" spans="1:2">
      <c r="A16520" s="55"/>
      <c r="B16520"/>
    </row>
    <row r="16521" spans="1:2">
      <c r="A16521" s="55"/>
      <c r="B16521"/>
    </row>
    <row r="16522" spans="1:2">
      <c r="A16522" s="55"/>
      <c r="B16522"/>
    </row>
    <row r="16523" spans="1:2">
      <c r="A16523" s="55"/>
      <c r="B16523"/>
    </row>
    <row r="16524" spans="1:2">
      <c r="A16524" s="55"/>
      <c r="B16524"/>
    </row>
    <row r="16525" spans="1:2">
      <c r="A16525" s="55"/>
      <c r="B16525"/>
    </row>
    <row r="16526" spans="1:2">
      <c r="A16526" s="55"/>
      <c r="B16526"/>
    </row>
    <row r="16527" spans="1:2">
      <c r="A16527" s="55"/>
      <c r="B16527"/>
    </row>
    <row r="16528" spans="1:2">
      <c r="A16528" s="55"/>
      <c r="B16528"/>
    </row>
    <row r="16529" spans="1:2">
      <c r="A16529" s="55"/>
      <c r="B16529"/>
    </row>
    <row r="16530" spans="1:2">
      <c r="A16530" s="55"/>
      <c r="B16530"/>
    </row>
    <row r="16531" spans="1:2">
      <c r="A16531" s="55"/>
      <c r="B16531"/>
    </row>
    <row r="16532" spans="1:2">
      <c r="A16532" s="55"/>
      <c r="B16532"/>
    </row>
    <row r="16533" spans="1:2">
      <c r="A16533" s="55"/>
      <c r="B16533"/>
    </row>
    <row r="16534" spans="1:2">
      <c r="A16534" s="55"/>
      <c r="B16534"/>
    </row>
    <row r="16535" spans="1:2">
      <c r="A16535" s="55"/>
      <c r="B16535"/>
    </row>
    <row r="16536" spans="1:2">
      <c r="A16536" s="55"/>
      <c r="B16536"/>
    </row>
    <row r="16537" spans="1:2">
      <c r="A16537" s="55"/>
      <c r="B16537"/>
    </row>
    <row r="16538" spans="1:2">
      <c r="A16538" s="55"/>
      <c r="B16538"/>
    </row>
    <row r="16539" spans="1:2">
      <c r="A16539" s="55"/>
      <c r="B16539"/>
    </row>
    <row r="16540" spans="1:2">
      <c r="A16540" s="55"/>
      <c r="B16540"/>
    </row>
    <row r="16541" spans="1:2">
      <c r="A16541" s="55"/>
      <c r="B16541"/>
    </row>
    <row r="16542" spans="1:2">
      <c r="A16542" s="55"/>
      <c r="B16542"/>
    </row>
    <row r="16543" spans="1:2">
      <c r="A16543" s="55"/>
      <c r="B16543"/>
    </row>
    <row r="16544" spans="1:2">
      <c r="A16544" s="55"/>
      <c r="B16544"/>
    </row>
    <row r="16545" spans="1:2">
      <c r="A16545" s="55"/>
      <c r="B16545"/>
    </row>
    <row r="16546" spans="1:2">
      <c r="A16546" s="55"/>
      <c r="B16546"/>
    </row>
    <row r="16547" spans="1:2">
      <c r="A16547" s="55"/>
      <c r="B16547"/>
    </row>
    <row r="16548" spans="1:2">
      <c r="A16548" s="55"/>
      <c r="B16548"/>
    </row>
    <row r="16549" spans="1:2">
      <c r="A16549" s="55"/>
      <c r="B16549"/>
    </row>
    <row r="16550" spans="1:2">
      <c r="A16550" s="55"/>
      <c r="B16550"/>
    </row>
    <row r="16551" spans="1:2">
      <c r="A16551" s="55"/>
      <c r="B16551"/>
    </row>
    <row r="16552" spans="1:2">
      <c r="A16552" s="55"/>
      <c r="B16552"/>
    </row>
    <row r="16553" spans="1:2">
      <c r="A16553" s="55"/>
      <c r="B16553"/>
    </row>
    <row r="16554" spans="1:2">
      <c r="A16554" s="55"/>
      <c r="B16554"/>
    </row>
    <row r="16555" spans="1:2">
      <c r="A16555" s="55"/>
      <c r="B16555"/>
    </row>
    <row r="16556" spans="1:2">
      <c r="A16556" s="55"/>
      <c r="B16556"/>
    </row>
    <row r="16557" spans="1:2">
      <c r="A16557" s="55"/>
      <c r="B16557"/>
    </row>
    <row r="16558" spans="1:2">
      <c r="A16558" s="55"/>
      <c r="B16558"/>
    </row>
    <row r="16559" spans="1:2">
      <c r="A16559" s="55"/>
      <c r="B16559"/>
    </row>
    <row r="16560" spans="1:2">
      <c r="A16560" s="55"/>
      <c r="B16560"/>
    </row>
    <row r="16561" spans="1:2">
      <c r="A16561" s="55"/>
      <c r="B16561"/>
    </row>
    <row r="16562" spans="1:2">
      <c r="A16562" s="55"/>
      <c r="B16562"/>
    </row>
    <row r="16563" spans="1:2">
      <c r="A16563" s="55"/>
      <c r="B16563"/>
    </row>
    <row r="16564" spans="1:2">
      <c r="A16564" s="55"/>
      <c r="B16564"/>
    </row>
    <row r="16565" spans="1:2">
      <c r="A16565" s="55"/>
      <c r="B16565"/>
    </row>
    <row r="16566" spans="1:2">
      <c r="A16566" s="55"/>
      <c r="B16566"/>
    </row>
    <row r="16567" spans="1:2">
      <c r="A16567" s="55"/>
      <c r="B16567"/>
    </row>
    <row r="16568" spans="1:2">
      <c r="A16568" s="55"/>
      <c r="B16568"/>
    </row>
    <row r="16569" spans="1:2">
      <c r="A16569" s="55"/>
      <c r="B16569"/>
    </row>
    <row r="16570" spans="1:2">
      <c r="A16570" s="55"/>
      <c r="B16570"/>
    </row>
    <row r="16571" spans="1:2">
      <c r="A16571" s="55"/>
      <c r="B16571"/>
    </row>
    <row r="16572" spans="1:2">
      <c r="A16572" s="55"/>
      <c r="B16572"/>
    </row>
    <row r="16573" spans="1:2">
      <c r="A16573" s="55"/>
      <c r="B16573"/>
    </row>
    <row r="16574" spans="1:2">
      <c r="A16574" s="55"/>
      <c r="B16574"/>
    </row>
    <row r="16575" spans="1:2">
      <c r="A16575" s="55"/>
      <c r="B16575"/>
    </row>
    <row r="16576" spans="1:2">
      <c r="A16576" s="55"/>
      <c r="B16576"/>
    </row>
    <row r="16577" spans="1:2">
      <c r="A16577" s="55"/>
      <c r="B16577"/>
    </row>
    <row r="16578" spans="1:2">
      <c r="A16578" s="55"/>
      <c r="B16578"/>
    </row>
    <row r="16579" spans="1:2">
      <c r="A16579" s="55"/>
      <c r="B16579"/>
    </row>
    <row r="16580" spans="1:2">
      <c r="A16580" s="55"/>
      <c r="B16580"/>
    </row>
    <row r="16581" spans="1:2">
      <c r="A16581" s="55"/>
      <c r="B16581"/>
    </row>
    <row r="16582" spans="1:2">
      <c r="A16582" s="55"/>
      <c r="B16582"/>
    </row>
    <row r="16583" spans="1:2">
      <c r="A16583" s="55"/>
      <c r="B16583"/>
    </row>
    <row r="16584" spans="1:2">
      <c r="A16584" s="55"/>
      <c r="B16584"/>
    </row>
    <row r="16585" spans="1:2">
      <c r="A16585" s="55"/>
      <c r="B16585"/>
    </row>
    <row r="16586" spans="1:2">
      <c r="A16586" s="55"/>
      <c r="B16586"/>
    </row>
    <row r="16587" spans="1:2">
      <c r="A16587" s="55"/>
      <c r="B16587"/>
    </row>
    <row r="16588" spans="1:2">
      <c r="A16588" s="55"/>
      <c r="B16588"/>
    </row>
    <row r="16589" spans="1:2">
      <c r="A16589" s="55"/>
      <c r="B16589"/>
    </row>
    <row r="16590" spans="1:2">
      <c r="A16590" s="55"/>
      <c r="B16590"/>
    </row>
    <row r="16591" spans="1:2">
      <c r="A16591" s="55"/>
      <c r="B16591"/>
    </row>
    <row r="16592" spans="1:2">
      <c r="A16592" s="55"/>
      <c r="B16592"/>
    </row>
    <row r="16593" spans="1:2">
      <c r="A16593" s="55"/>
      <c r="B16593"/>
    </row>
    <row r="16594" spans="1:2">
      <c r="A16594" s="55"/>
      <c r="B16594"/>
    </row>
    <row r="16595" spans="1:2">
      <c r="A16595" s="55"/>
      <c r="B16595"/>
    </row>
    <row r="16596" spans="1:2">
      <c r="A16596" s="55"/>
      <c r="B16596"/>
    </row>
  </sheetData>
  <sortState ref="B58:U72">
    <sortCondition ref="C58:C72"/>
  </sortState>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T214"/>
  <sheetViews>
    <sheetView topLeftCell="A46" workbookViewId="0">
      <selection activeCell="J59" sqref="J59"/>
    </sheetView>
  </sheetViews>
  <sheetFormatPr baseColWidth="10" defaultRowHeight="15"/>
  <cols>
    <col min="2" max="2" width="29.140625" bestFit="1" customWidth="1"/>
    <col min="3" max="10" width="11.42578125" style="16"/>
  </cols>
  <sheetData>
    <row r="2" spans="1:20" s="155" customFormat="1" ht="15.75">
      <c r="A2" s="155" t="s">
        <v>1654</v>
      </c>
      <c r="C2" s="232"/>
      <c r="D2" s="232"/>
      <c r="E2" s="232"/>
      <c r="F2" s="232"/>
      <c r="G2" s="232"/>
      <c r="H2" s="232"/>
      <c r="I2" s="232"/>
      <c r="J2" s="232"/>
    </row>
    <row r="3" spans="1:20" s="155" customFormat="1" ht="15.75">
      <c r="C3" s="232"/>
      <c r="D3" s="232"/>
      <c r="E3" s="232"/>
      <c r="F3" s="232"/>
      <c r="G3" s="232"/>
      <c r="H3" s="232"/>
      <c r="I3" s="232"/>
      <c r="J3" s="232"/>
    </row>
    <row r="4" spans="1:20">
      <c r="C4" s="16">
        <v>2009</v>
      </c>
      <c r="D4" s="16">
        <v>2010</v>
      </c>
      <c r="E4" s="16">
        <v>2011</v>
      </c>
      <c r="F4" s="16">
        <v>2012</v>
      </c>
      <c r="G4" s="16">
        <v>2013</v>
      </c>
      <c r="H4" s="16">
        <v>2014</v>
      </c>
      <c r="I4" s="16">
        <v>2015</v>
      </c>
      <c r="J4" s="16">
        <v>2016</v>
      </c>
      <c r="K4" t="s">
        <v>1537</v>
      </c>
      <c r="L4">
        <v>2009</v>
      </c>
      <c r="M4">
        <v>2010</v>
      </c>
      <c r="N4">
        <v>2011</v>
      </c>
      <c r="O4">
        <v>2012</v>
      </c>
      <c r="P4">
        <v>2013</v>
      </c>
      <c r="Q4">
        <v>2014</v>
      </c>
      <c r="R4">
        <v>2015</v>
      </c>
      <c r="S4">
        <v>2016</v>
      </c>
    </row>
    <row r="5" spans="1:20" ht="30">
      <c r="A5" t="s">
        <v>251</v>
      </c>
      <c r="B5" t="s">
        <v>252</v>
      </c>
      <c r="C5" s="14" t="s">
        <v>446</v>
      </c>
      <c r="D5" s="14" t="s">
        <v>447</v>
      </c>
      <c r="E5" s="14" t="s">
        <v>448</v>
      </c>
      <c r="F5" s="14" t="s">
        <v>449</v>
      </c>
      <c r="G5" s="14" t="s">
        <v>450</v>
      </c>
      <c r="H5" s="14" t="s">
        <v>451</v>
      </c>
      <c r="I5" s="14" t="s">
        <v>452</v>
      </c>
      <c r="J5" s="14" t="s">
        <v>453</v>
      </c>
      <c r="K5" t="s">
        <v>438</v>
      </c>
      <c r="L5" t="s">
        <v>437</v>
      </c>
      <c r="M5" s="55" t="s">
        <v>439</v>
      </c>
      <c r="N5" s="55" t="s">
        <v>440</v>
      </c>
      <c r="O5" s="55" t="s">
        <v>441</v>
      </c>
      <c r="P5" s="55" t="s">
        <v>442</v>
      </c>
      <c r="Q5" s="55" t="s">
        <v>443</v>
      </c>
      <c r="R5" s="55" t="s">
        <v>444</v>
      </c>
      <c r="S5" s="55" t="s">
        <v>445</v>
      </c>
    </row>
    <row r="6" spans="1:20">
      <c r="A6" t="s">
        <v>88</v>
      </c>
      <c r="B6" t="s">
        <v>89</v>
      </c>
      <c r="C6" s="620">
        <v>114979</v>
      </c>
      <c r="D6" s="620">
        <v>117095</v>
      </c>
      <c r="E6" s="620">
        <v>116965</v>
      </c>
      <c r="F6" s="620">
        <v>116685</v>
      </c>
      <c r="G6" s="620">
        <v>116633</v>
      </c>
      <c r="H6" s="620">
        <v>115493</v>
      </c>
      <c r="I6" s="620">
        <v>114919</v>
      </c>
      <c r="J6" s="620">
        <v>117018</v>
      </c>
      <c r="K6" s="158">
        <f t="shared" ref="K6:K37" si="0">+RATE((2016-2009),,-C6,J6)</f>
        <v>2.5143365307430006E-3</v>
      </c>
      <c r="L6">
        <v>100</v>
      </c>
      <c r="M6" s="154">
        <f t="shared" ref="M6:S6" si="1">(D6/$C6)*100</f>
        <v>101.84033606136774</v>
      </c>
      <c r="N6" s="154">
        <f t="shared" si="1"/>
        <v>101.7272719366145</v>
      </c>
      <c r="O6" s="154">
        <f t="shared" si="1"/>
        <v>101.48374920637681</v>
      </c>
      <c r="P6" s="154">
        <f t="shared" si="1"/>
        <v>101.43852355647553</v>
      </c>
      <c r="Q6" s="154">
        <f t="shared" si="1"/>
        <v>100.44703815479347</v>
      </c>
      <c r="R6" s="154">
        <f t="shared" si="1"/>
        <v>99.947816557806206</v>
      </c>
      <c r="S6" s="154">
        <f t="shared" si="1"/>
        <v>101.77336731055236</v>
      </c>
    </row>
    <row r="7" spans="1:20">
      <c r="A7" t="s">
        <v>5</v>
      </c>
      <c r="B7" t="s">
        <v>6</v>
      </c>
      <c r="C7" s="620">
        <v>344042</v>
      </c>
      <c r="D7" s="620">
        <v>349149</v>
      </c>
      <c r="E7" s="620">
        <v>354642</v>
      </c>
      <c r="F7" s="620">
        <v>358366</v>
      </c>
      <c r="G7" s="620">
        <v>360716</v>
      </c>
      <c r="H7" s="620">
        <v>362811</v>
      </c>
      <c r="I7" s="620">
        <v>368677</v>
      </c>
      <c r="J7" s="620">
        <v>379375</v>
      </c>
      <c r="K7" s="158">
        <f t="shared" si="0"/>
        <v>1.4063895990881026E-2</v>
      </c>
      <c r="L7">
        <v>100</v>
      </c>
      <c r="M7" s="154">
        <f t="shared" ref="M7:M53" si="2">(D7/$C7)*100</f>
        <v>101.48441178693299</v>
      </c>
      <c r="N7" s="154">
        <f t="shared" ref="N7:N53" si="3">(E7/$C7)*100</f>
        <v>103.08101917789108</v>
      </c>
      <c r="O7" s="154">
        <f t="shared" ref="O7:O53" si="4">(F7/$C7)*100</f>
        <v>104.16344516076525</v>
      </c>
      <c r="P7" s="154">
        <f t="shared" ref="P7:P53" si="5">(G7/$C7)*100</f>
        <v>104.84650129925997</v>
      </c>
      <c r="Q7" s="154">
        <f t="shared" ref="Q7:Q53" si="6">(H7/$C7)*100</f>
        <v>105.45543858017335</v>
      </c>
      <c r="R7" s="154">
        <f t="shared" ref="R7:R53" si="7">(I7/$C7)*100</f>
        <v>107.1604629667308</v>
      </c>
      <c r="S7" s="154">
        <f t="shared" ref="S7:S53" si="8">(J7/$C7)*100</f>
        <v>110.26996703890804</v>
      </c>
    </row>
    <row r="8" spans="1:20">
      <c r="A8" t="s">
        <v>87</v>
      </c>
      <c r="B8" s="72" t="s">
        <v>1297</v>
      </c>
      <c r="C8" s="620">
        <v>80932</v>
      </c>
      <c r="D8" s="620">
        <v>80758</v>
      </c>
      <c r="E8" s="620">
        <v>81503</v>
      </c>
      <c r="F8" s="620">
        <v>79312</v>
      </c>
      <c r="G8" s="620">
        <v>78849</v>
      </c>
      <c r="H8" s="620">
        <v>79403</v>
      </c>
      <c r="I8" s="620">
        <v>80503</v>
      </c>
      <c r="J8" s="620">
        <v>82666</v>
      </c>
      <c r="K8" s="158">
        <f t="shared" si="0"/>
        <v>3.0330327976579976E-3</v>
      </c>
      <c r="L8">
        <v>100</v>
      </c>
      <c r="M8" s="154">
        <f t="shared" si="2"/>
        <v>99.785004695299762</v>
      </c>
      <c r="N8" s="154">
        <f t="shared" si="3"/>
        <v>100.70553056887263</v>
      </c>
      <c r="O8" s="154">
        <f t="shared" si="4"/>
        <v>97.998319576928779</v>
      </c>
      <c r="P8" s="154">
        <f t="shared" si="5"/>
        <v>97.426234369594226</v>
      </c>
      <c r="Q8" s="154">
        <f t="shared" si="6"/>
        <v>98.110759650076602</v>
      </c>
      <c r="R8" s="154">
        <f t="shared" si="7"/>
        <v>99.46992536944596</v>
      </c>
      <c r="S8" s="154">
        <f t="shared" si="8"/>
        <v>102.14253941580587</v>
      </c>
    </row>
    <row r="9" spans="1:20">
      <c r="A9" t="s">
        <v>7</v>
      </c>
      <c r="B9" t="s">
        <v>8</v>
      </c>
      <c r="C9" s="620">
        <v>231471</v>
      </c>
      <c r="D9" s="620">
        <v>234660</v>
      </c>
      <c r="E9" s="620">
        <v>235554</v>
      </c>
      <c r="F9" s="620">
        <v>234193</v>
      </c>
      <c r="G9" s="620">
        <v>234403</v>
      </c>
      <c r="H9" s="620">
        <v>233053</v>
      </c>
      <c r="I9" s="620">
        <v>233210</v>
      </c>
      <c r="J9" s="620">
        <v>235577</v>
      </c>
      <c r="K9" s="158">
        <f t="shared" si="0"/>
        <v>2.5150471840716267E-3</v>
      </c>
      <c r="L9">
        <v>100</v>
      </c>
      <c r="M9" s="154">
        <f t="shared" si="2"/>
        <v>101.37771038272614</v>
      </c>
      <c r="N9" s="154">
        <f t="shared" si="3"/>
        <v>101.76393587101624</v>
      </c>
      <c r="O9" s="154">
        <f t="shared" si="4"/>
        <v>101.17595724734416</v>
      </c>
      <c r="P9" s="154">
        <f t="shared" si="5"/>
        <v>101.26668135533177</v>
      </c>
      <c r="Q9" s="154">
        <f t="shared" si="6"/>
        <v>100.68345494683999</v>
      </c>
      <c r="R9" s="154">
        <f t="shared" si="7"/>
        <v>100.75128201804976</v>
      </c>
      <c r="S9" s="154">
        <f t="shared" si="8"/>
        <v>101.77387232093868</v>
      </c>
      <c r="T9" s="233">
        <f>MIN(M6:S53)</f>
        <v>96.381024743153503</v>
      </c>
    </row>
    <row r="10" spans="1:20">
      <c r="A10" t="s">
        <v>9</v>
      </c>
      <c r="B10" t="s">
        <v>10</v>
      </c>
      <c r="C10" s="620">
        <v>280330</v>
      </c>
      <c r="D10" s="620">
        <v>284131</v>
      </c>
      <c r="E10" s="620">
        <v>287556</v>
      </c>
      <c r="F10" s="620">
        <v>288172</v>
      </c>
      <c r="G10" s="620">
        <v>286240</v>
      </c>
      <c r="H10" s="620">
        <v>288712</v>
      </c>
      <c r="I10" s="620">
        <v>293634</v>
      </c>
      <c r="J10" s="620">
        <v>297629</v>
      </c>
      <c r="K10" s="158">
        <f t="shared" si="0"/>
        <v>8.5910161800295363E-3</v>
      </c>
      <c r="L10">
        <v>100</v>
      </c>
      <c r="M10" s="154">
        <f t="shared" si="2"/>
        <v>101.35590197267506</v>
      </c>
      <c r="N10" s="154">
        <f t="shared" si="3"/>
        <v>102.57767631006314</v>
      </c>
      <c r="O10" s="154">
        <f t="shared" si="4"/>
        <v>102.79741732957586</v>
      </c>
      <c r="P10" s="154">
        <f t="shared" si="5"/>
        <v>102.10822958655869</v>
      </c>
      <c r="Q10" s="154">
        <f t="shared" si="6"/>
        <v>102.99004744408376</v>
      </c>
      <c r="R10" s="154">
        <f t="shared" si="7"/>
        <v>104.74583526557986</v>
      </c>
      <c r="S10" s="154">
        <f t="shared" si="8"/>
        <v>106.17094139050405</v>
      </c>
      <c r="T10" s="233">
        <f>MAX(M6:S53)</f>
        <v>113.40928599297698</v>
      </c>
    </row>
    <row r="11" spans="1:20">
      <c r="A11" t="s">
        <v>11</v>
      </c>
      <c r="B11" t="s">
        <v>12</v>
      </c>
      <c r="C11" s="620">
        <v>625074</v>
      </c>
      <c r="D11" s="620">
        <v>635953</v>
      </c>
      <c r="E11" s="620">
        <v>646473</v>
      </c>
      <c r="F11" s="620">
        <v>648831</v>
      </c>
      <c r="G11" s="620">
        <v>651839</v>
      </c>
      <c r="H11" s="620">
        <v>657555</v>
      </c>
      <c r="I11" s="620">
        <v>668160</v>
      </c>
      <c r="J11" s="620">
        <v>679680</v>
      </c>
      <c r="K11" s="158">
        <f t="shared" si="0"/>
        <v>1.2036441386621164E-2</v>
      </c>
      <c r="L11">
        <v>100</v>
      </c>
      <c r="M11" s="154">
        <f t="shared" si="2"/>
        <v>101.74043393262238</v>
      </c>
      <c r="N11" s="154">
        <f t="shared" si="3"/>
        <v>103.42343466533563</v>
      </c>
      <c r="O11" s="154">
        <f t="shared" si="4"/>
        <v>103.80067000067193</v>
      </c>
      <c r="P11" s="154">
        <f t="shared" si="5"/>
        <v>104.28189302386596</v>
      </c>
      <c r="Q11" s="154">
        <f t="shared" si="6"/>
        <v>105.19634475278127</v>
      </c>
      <c r="R11" s="154">
        <f t="shared" si="7"/>
        <v>106.89294387544514</v>
      </c>
      <c r="S11" s="154">
        <f t="shared" si="8"/>
        <v>108.73592566640109</v>
      </c>
    </row>
    <row r="12" spans="1:20">
      <c r="A12" t="s">
        <v>13</v>
      </c>
      <c r="B12" t="s">
        <v>54</v>
      </c>
      <c r="C12" s="620">
        <v>366736</v>
      </c>
      <c r="D12" s="620">
        <v>367717</v>
      </c>
      <c r="E12" s="620">
        <v>370554</v>
      </c>
      <c r="F12" s="620">
        <v>371999</v>
      </c>
      <c r="G12" s="620">
        <v>372269</v>
      </c>
      <c r="H12" s="620">
        <v>374819</v>
      </c>
      <c r="I12" s="620">
        <v>379048</v>
      </c>
      <c r="J12" s="620">
        <v>382676</v>
      </c>
      <c r="K12" s="158">
        <f t="shared" si="0"/>
        <v>6.0965710438187527E-3</v>
      </c>
      <c r="L12">
        <v>100</v>
      </c>
      <c r="M12" s="154">
        <f t="shared" si="2"/>
        <v>100.26749487369662</v>
      </c>
      <c r="N12" s="154">
        <f t="shared" si="3"/>
        <v>101.04107586929017</v>
      </c>
      <c r="O12" s="154">
        <f t="shared" si="4"/>
        <v>101.43509227346101</v>
      </c>
      <c r="P12" s="154">
        <f t="shared" si="5"/>
        <v>101.50871471576284</v>
      </c>
      <c r="Q12" s="154">
        <f t="shared" si="6"/>
        <v>102.20403778194668</v>
      </c>
      <c r="R12" s="154">
        <f t="shared" si="7"/>
        <v>103.35718336896295</v>
      </c>
      <c r="S12" s="154">
        <f t="shared" si="8"/>
        <v>104.34645085292962</v>
      </c>
    </row>
    <row r="13" spans="1:20">
      <c r="A13" t="s">
        <v>14</v>
      </c>
      <c r="B13" t="s">
        <v>15</v>
      </c>
      <c r="C13" s="620">
        <v>167796</v>
      </c>
      <c r="D13" s="620">
        <v>170318</v>
      </c>
      <c r="E13" s="620">
        <v>172079</v>
      </c>
      <c r="F13" s="620">
        <v>171977</v>
      </c>
      <c r="G13" s="620">
        <v>172029</v>
      </c>
      <c r="H13" s="620">
        <v>174795</v>
      </c>
      <c r="I13" s="620">
        <v>179356</v>
      </c>
      <c r="J13" s="620">
        <v>183076</v>
      </c>
      <c r="K13" s="158">
        <f t="shared" si="0"/>
        <v>1.2528172674755023E-2</v>
      </c>
      <c r="L13">
        <v>100</v>
      </c>
      <c r="M13" s="154">
        <f t="shared" si="2"/>
        <v>101.50301556652126</v>
      </c>
      <c r="N13" s="154">
        <f t="shared" si="3"/>
        <v>102.55250423132851</v>
      </c>
      <c r="O13" s="154">
        <f t="shared" si="4"/>
        <v>102.49171613149299</v>
      </c>
      <c r="P13" s="154">
        <f t="shared" si="5"/>
        <v>102.52270614317385</v>
      </c>
      <c r="Q13" s="154">
        <f t="shared" si="6"/>
        <v>104.17113637988986</v>
      </c>
      <c r="R13" s="154">
        <f t="shared" si="7"/>
        <v>106.88931798135832</v>
      </c>
      <c r="S13" s="154">
        <f t="shared" si="8"/>
        <v>109.10629574006532</v>
      </c>
    </row>
    <row r="14" spans="1:20">
      <c r="A14" t="s">
        <v>16</v>
      </c>
      <c r="B14" t="s">
        <v>17</v>
      </c>
      <c r="C14" s="620">
        <v>313257</v>
      </c>
      <c r="D14" s="620">
        <v>319951</v>
      </c>
      <c r="E14" s="620">
        <v>326622</v>
      </c>
      <c r="F14" s="620">
        <v>329329</v>
      </c>
      <c r="G14" s="620">
        <v>330557</v>
      </c>
      <c r="H14" s="620">
        <v>333328</v>
      </c>
      <c r="I14" s="620">
        <v>339377</v>
      </c>
      <c r="J14" s="620">
        <v>348743</v>
      </c>
      <c r="K14" s="158">
        <f t="shared" si="0"/>
        <v>1.5448298887020061E-2</v>
      </c>
      <c r="L14">
        <v>100</v>
      </c>
      <c r="M14" s="154">
        <f t="shared" si="2"/>
        <v>102.13690356480463</v>
      </c>
      <c r="N14" s="154">
        <f t="shared" si="3"/>
        <v>104.26646491538895</v>
      </c>
      <c r="O14" s="154">
        <f t="shared" si="4"/>
        <v>105.13061160644455</v>
      </c>
      <c r="P14" s="154">
        <f t="shared" si="5"/>
        <v>105.52262200046607</v>
      </c>
      <c r="Q14" s="154">
        <f t="shared" si="6"/>
        <v>106.40719920065634</v>
      </c>
      <c r="R14" s="154">
        <f t="shared" si="7"/>
        <v>108.33820154058809</v>
      </c>
      <c r="S14" s="154">
        <f t="shared" si="8"/>
        <v>111.32807886176525</v>
      </c>
    </row>
    <row r="15" spans="1:20">
      <c r="A15" t="s">
        <v>18</v>
      </c>
      <c r="B15" t="s">
        <v>19</v>
      </c>
      <c r="C15" s="620">
        <v>165540</v>
      </c>
      <c r="D15" s="620">
        <v>165683</v>
      </c>
      <c r="E15" s="620">
        <v>164322</v>
      </c>
      <c r="F15" s="620">
        <v>163533</v>
      </c>
      <c r="G15" s="620">
        <v>162469</v>
      </c>
      <c r="H15" s="620">
        <v>159915</v>
      </c>
      <c r="I15" s="620">
        <v>162940</v>
      </c>
      <c r="J15" s="620">
        <v>165028</v>
      </c>
      <c r="K15" s="158">
        <f t="shared" si="0"/>
        <v>-4.4243081059350297E-4</v>
      </c>
      <c r="L15">
        <v>100</v>
      </c>
      <c r="M15" s="154">
        <f t="shared" si="2"/>
        <v>100.08638395553943</v>
      </c>
      <c r="N15" s="154">
        <f t="shared" si="3"/>
        <v>99.264226168901786</v>
      </c>
      <c r="O15" s="154">
        <f t="shared" si="4"/>
        <v>98.787604204421896</v>
      </c>
      <c r="P15" s="154">
        <f t="shared" si="5"/>
        <v>98.144859248520007</v>
      </c>
      <c r="Q15" s="154">
        <f t="shared" si="6"/>
        <v>96.602029720913379</v>
      </c>
      <c r="R15" s="154">
        <f t="shared" si="7"/>
        <v>98.429382626555523</v>
      </c>
      <c r="S15" s="154">
        <f t="shared" si="8"/>
        <v>99.690709194152475</v>
      </c>
    </row>
    <row r="16" spans="1:20">
      <c r="A16" t="s">
        <v>20</v>
      </c>
      <c r="B16" t="s">
        <v>21</v>
      </c>
      <c r="C16" s="620">
        <v>219705</v>
      </c>
      <c r="D16" s="620">
        <v>221254</v>
      </c>
      <c r="E16" s="620">
        <v>224645</v>
      </c>
      <c r="F16" s="620">
        <v>224180</v>
      </c>
      <c r="G16" s="620">
        <v>225706</v>
      </c>
      <c r="H16" s="620">
        <v>227025</v>
      </c>
      <c r="I16" s="620">
        <v>230710</v>
      </c>
      <c r="J16" s="620">
        <v>235220</v>
      </c>
      <c r="K16" s="158">
        <f t="shared" si="0"/>
        <v>9.7955956783252144E-3</v>
      </c>
      <c r="L16">
        <v>100</v>
      </c>
      <c r="M16" s="154">
        <f t="shared" si="2"/>
        <v>100.70503629867322</v>
      </c>
      <c r="N16" s="154">
        <f t="shared" si="3"/>
        <v>102.24846953869961</v>
      </c>
      <c r="O16" s="154">
        <f t="shared" si="4"/>
        <v>102.03682210236454</v>
      </c>
      <c r="P16" s="154">
        <f t="shared" si="5"/>
        <v>102.73138981816527</v>
      </c>
      <c r="Q16" s="154">
        <f t="shared" si="6"/>
        <v>103.33174028811361</v>
      </c>
      <c r="R16" s="154">
        <f t="shared" si="7"/>
        <v>105.00898932659703</v>
      </c>
      <c r="S16" s="154">
        <f t="shared" si="8"/>
        <v>107.06174188115882</v>
      </c>
    </row>
    <row r="17" spans="1:19">
      <c r="A17" t="s">
        <v>22</v>
      </c>
      <c r="B17" t="s">
        <v>23</v>
      </c>
      <c r="C17" s="620">
        <v>222868</v>
      </c>
      <c r="D17" s="620">
        <v>221653</v>
      </c>
      <c r="E17" s="620">
        <v>222216</v>
      </c>
      <c r="F17" s="620">
        <v>219533</v>
      </c>
      <c r="G17" s="620">
        <v>217231</v>
      </c>
      <c r="H17" s="620">
        <v>216338</v>
      </c>
      <c r="I17" s="620">
        <v>217518</v>
      </c>
      <c r="J17" s="620">
        <v>217966</v>
      </c>
      <c r="K17" s="158">
        <f t="shared" si="0"/>
        <v>-3.1721837633395351E-3</v>
      </c>
      <c r="L17">
        <v>100</v>
      </c>
      <c r="M17" s="154">
        <f t="shared" si="2"/>
        <v>99.454834251664664</v>
      </c>
      <c r="N17" s="154">
        <f t="shared" si="3"/>
        <v>99.707450149864499</v>
      </c>
      <c r="O17" s="154">
        <f t="shared" si="4"/>
        <v>98.503598542635103</v>
      </c>
      <c r="P17" s="154">
        <f t="shared" si="5"/>
        <v>97.470700145377535</v>
      </c>
      <c r="Q17" s="154">
        <f t="shared" si="6"/>
        <v>97.070014537753295</v>
      </c>
      <c r="R17" s="154">
        <f t="shared" si="7"/>
        <v>97.599475922967855</v>
      </c>
      <c r="S17" s="154">
        <f t="shared" si="8"/>
        <v>97.800491770913723</v>
      </c>
    </row>
    <row r="18" spans="1:19">
      <c r="A18" t="s">
        <v>24</v>
      </c>
      <c r="B18" t="s">
        <v>25</v>
      </c>
      <c r="C18" s="620">
        <v>202506</v>
      </c>
      <c r="D18" s="620">
        <v>203852</v>
      </c>
      <c r="E18" s="620">
        <v>205718</v>
      </c>
      <c r="F18" s="620">
        <v>204651</v>
      </c>
      <c r="G18" s="620">
        <v>204124</v>
      </c>
      <c r="H18" s="620">
        <v>203338</v>
      </c>
      <c r="I18" s="620">
        <v>204974</v>
      </c>
      <c r="J18" s="620">
        <v>208943</v>
      </c>
      <c r="K18" s="158">
        <f t="shared" si="0"/>
        <v>4.4802882940956999E-3</v>
      </c>
      <c r="L18">
        <v>100</v>
      </c>
      <c r="M18" s="154">
        <f t="shared" si="2"/>
        <v>100.66467166404946</v>
      </c>
      <c r="N18" s="154">
        <f t="shared" si="3"/>
        <v>101.58612584318489</v>
      </c>
      <c r="O18" s="154">
        <f t="shared" si="4"/>
        <v>101.05922787472963</v>
      </c>
      <c r="P18" s="154">
        <f t="shared" si="5"/>
        <v>100.79898867194059</v>
      </c>
      <c r="Q18" s="154">
        <f t="shared" si="6"/>
        <v>100.41085202413755</v>
      </c>
      <c r="R18" s="154">
        <f t="shared" si="7"/>
        <v>101.21872932160034</v>
      </c>
      <c r="S18" s="154">
        <f t="shared" si="8"/>
        <v>103.17867124924693</v>
      </c>
    </row>
    <row r="19" spans="1:19">
      <c r="A19" t="s">
        <v>51</v>
      </c>
      <c r="B19" t="s">
        <v>55</v>
      </c>
      <c r="C19" s="620">
        <v>123523</v>
      </c>
      <c r="D19" s="620">
        <v>125510</v>
      </c>
      <c r="E19" s="620">
        <v>126050</v>
      </c>
      <c r="F19" s="620">
        <v>125093</v>
      </c>
      <c r="G19" s="620">
        <v>124449</v>
      </c>
      <c r="H19" s="620">
        <v>123666</v>
      </c>
      <c r="I19" s="620">
        <v>125089</v>
      </c>
      <c r="J19" s="620">
        <v>127302</v>
      </c>
      <c r="K19" s="158">
        <f t="shared" si="0"/>
        <v>4.314257272158983E-3</v>
      </c>
      <c r="L19">
        <v>100</v>
      </c>
      <c r="M19" s="154">
        <f t="shared" si="2"/>
        <v>101.60860730390291</v>
      </c>
      <c r="N19" s="154">
        <f t="shared" si="3"/>
        <v>102.04577285201945</v>
      </c>
      <c r="O19" s="154">
        <f t="shared" si="4"/>
        <v>101.27101835285737</v>
      </c>
      <c r="P19" s="154">
        <f t="shared" si="5"/>
        <v>100.74965795843688</v>
      </c>
      <c r="Q19" s="154">
        <f t="shared" si="6"/>
        <v>100.1157679136679</v>
      </c>
      <c r="R19" s="154">
        <f t="shared" si="7"/>
        <v>101.26778008953798</v>
      </c>
      <c r="S19" s="154">
        <f t="shared" si="8"/>
        <v>103.05934927098596</v>
      </c>
    </row>
    <row r="20" spans="1:19">
      <c r="A20" t="s">
        <v>26</v>
      </c>
      <c r="B20" t="s">
        <v>27</v>
      </c>
      <c r="C20" s="620">
        <v>406850</v>
      </c>
      <c r="D20" s="620">
        <v>416411</v>
      </c>
      <c r="E20" s="620">
        <v>425300</v>
      </c>
      <c r="F20" s="620">
        <v>431318</v>
      </c>
      <c r="G20" s="620">
        <v>434479</v>
      </c>
      <c r="H20" s="620">
        <v>437516</v>
      </c>
      <c r="I20" s="620">
        <v>444935</v>
      </c>
      <c r="J20" s="620">
        <v>459039</v>
      </c>
      <c r="K20" s="158">
        <f t="shared" si="0"/>
        <v>1.7391008081648385E-2</v>
      </c>
      <c r="L20">
        <v>100</v>
      </c>
      <c r="M20" s="154">
        <f t="shared" si="2"/>
        <v>102.35000614477082</v>
      </c>
      <c r="N20" s="154">
        <f t="shared" si="3"/>
        <v>104.53484085043627</v>
      </c>
      <c r="O20" s="154">
        <f t="shared" si="4"/>
        <v>106.0140100774241</v>
      </c>
      <c r="P20" s="154">
        <f t="shared" si="5"/>
        <v>106.79095489738233</v>
      </c>
      <c r="Q20" s="154">
        <f t="shared" si="6"/>
        <v>107.53742165417231</v>
      </c>
      <c r="R20" s="154">
        <f t="shared" si="7"/>
        <v>109.36094383679489</v>
      </c>
      <c r="S20" s="154">
        <f t="shared" si="8"/>
        <v>112.82757773135062</v>
      </c>
    </row>
    <row r="21" spans="1:19">
      <c r="A21" t="s">
        <v>28</v>
      </c>
      <c r="B21" t="s">
        <v>29</v>
      </c>
      <c r="C21" s="167">
        <v>730953</v>
      </c>
      <c r="D21" s="167">
        <v>743053</v>
      </c>
      <c r="E21" s="167">
        <v>755657</v>
      </c>
      <c r="F21" s="167">
        <v>756576</v>
      </c>
      <c r="G21" s="167">
        <v>760872</v>
      </c>
      <c r="H21" s="167">
        <v>767598</v>
      </c>
      <c r="I21" s="620">
        <v>779350</v>
      </c>
      <c r="J21" s="620">
        <v>793233</v>
      </c>
      <c r="K21" s="158">
        <f t="shared" si="0"/>
        <v>1.174961030246767E-2</v>
      </c>
      <c r="L21">
        <v>100</v>
      </c>
      <c r="M21" s="154">
        <f t="shared" si="2"/>
        <v>101.65537319088915</v>
      </c>
      <c r="N21" s="154">
        <f t="shared" si="3"/>
        <v>103.37969746344839</v>
      </c>
      <c r="O21" s="154">
        <f t="shared" si="4"/>
        <v>103.50542374133494</v>
      </c>
      <c r="P21" s="154">
        <f t="shared" si="5"/>
        <v>104.09314962795146</v>
      </c>
      <c r="Q21" s="154">
        <f t="shared" si="6"/>
        <v>105.01331822976306</v>
      </c>
      <c r="R21" s="154">
        <f t="shared" si="7"/>
        <v>106.62108234045145</v>
      </c>
      <c r="S21" s="154">
        <f t="shared" si="8"/>
        <v>108.52038366351873</v>
      </c>
    </row>
    <row r="22" spans="1:19">
      <c r="A22" t="s">
        <v>30</v>
      </c>
      <c r="B22" t="s">
        <v>253</v>
      </c>
      <c r="C22" s="620">
        <v>499143</v>
      </c>
      <c r="D22" s="620">
        <v>501932</v>
      </c>
      <c r="E22" s="620">
        <v>507558</v>
      </c>
      <c r="F22" s="620">
        <v>508119</v>
      </c>
      <c r="G22" s="620">
        <v>508045</v>
      </c>
      <c r="H22" s="620">
        <v>512518</v>
      </c>
      <c r="I22" s="620">
        <v>517666</v>
      </c>
      <c r="J22" s="620">
        <v>525364</v>
      </c>
      <c r="K22" s="158">
        <f t="shared" si="0"/>
        <v>7.3409173672982775E-3</v>
      </c>
      <c r="L22">
        <v>100</v>
      </c>
      <c r="M22" s="154">
        <f t="shared" si="2"/>
        <v>100.55875771071616</v>
      </c>
      <c r="N22" s="154">
        <f t="shared" si="3"/>
        <v>101.68588961479976</v>
      </c>
      <c r="O22" s="154">
        <f t="shared" si="4"/>
        <v>101.79828225578642</v>
      </c>
      <c r="P22" s="154">
        <f t="shared" si="5"/>
        <v>101.78345684503239</v>
      </c>
      <c r="Q22" s="154">
        <f t="shared" si="6"/>
        <v>102.67959282209706</v>
      </c>
      <c r="R22" s="154">
        <f t="shared" si="7"/>
        <v>103.71096058644518</v>
      </c>
      <c r="S22" s="154">
        <f t="shared" si="8"/>
        <v>105.25320399164167</v>
      </c>
    </row>
    <row r="23" spans="1:19">
      <c r="A23" t="s">
        <v>31</v>
      </c>
      <c r="B23" t="s">
        <v>32</v>
      </c>
      <c r="C23" s="620">
        <v>384450</v>
      </c>
      <c r="D23" s="620">
        <v>393409</v>
      </c>
      <c r="E23" s="620">
        <v>402282</v>
      </c>
      <c r="F23" s="620">
        <v>408335</v>
      </c>
      <c r="G23" s="620">
        <v>411761</v>
      </c>
      <c r="H23" s="620">
        <v>415141</v>
      </c>
      <c r="I23" s="620">
        <v>422354</v>
      </c>
      <c r="J23" s="620">
        <v>436002</v>
      </c>
      <c r="K23" s="158">
        <f t="shared" si="0"/>
        <v>1.8138699167241566E-2</v>
      </c>
      <c r="L23">
        <v>100</v>
      </c>
      <c r="M23" s="154">
        <f t="shared" si="2"/>
        <v>102.33034204708025</v>
      </c>
      <c r="N23" s="154">
        <f t="shared" si="3"/>
        <v>104.63831447522433</v>
      </c>
      <c r="O23" s="154">
        <f t="shared" si="4"/>
        <v>106.21277149174145</v>
      </c>
      <c r="P23" s="154">
        <f t="shared" si="5"/>
        <v>107.10391468331382</v>
      </c>
      <c r="Q23" s="154">
        <f t="shared" si="6"/>
        <v>107.98309272987385</v>
      </c>
      <c r="R23" s="154">
        <f t="shared" si="7"/>
        <v>109.85927949018077</v>
      </c>
      <c r="S23" s="154">
        <f t="shared" si="8"/>
        <v>113.40928599297698</v>
      </c>
    </row>
    <row r="24" spans="1:19">
      <c r="A24" t="s">
        <v>33</v>
      </c>
      <c r="B24" t="s">
        <v>34</v>
      </c>
      <c r="C24" s="620">
        <v>383172</v>
      </c>
      <c r="D24" s="620">
        <v>386423</v>
      </c>
      <c r="E24" s="620">
        <v>389193</v>
      </c>
      <c r="F24" s="620">
        <v>388379</v>
      </c>
      <c r="G24" s="620">
        <v>386243</v>
      </c>
      <c r="H24" s="620">
        <v>387331</v>
      </c>
      <c r="I24" s="620">
        <v>391179</v>
      </c>
      <c r="J24" s="620">
        <v>395525</v>
      </c>
      <c r="K24" s="158">
        <f t="shared" si="0"/>
        <v>4.5431492086816906E-3</v>
      </c>
      <c r="L24">
        <v>100</v>
      </c>
      <c r="M24" s="154">
        <f t="shared" si="2"/>
        <v>100.84844404079629</v>
      </c>
      <c r="N24" s="154">
        <f t="shared" si="3"/>
        <v>101.57135698850645</v>
      </c>
      <c r="O24" s="154">
        <f t="shared" si="4"/>
        <v>101.35891975405301</v>
      </c>
      <c r="P24" s="154">
        <f t="shared" si="5"/>
        <v>100.80146774816532</v>
      </c>
      <c r="Q24" s="154">
        <f t="shared" si="6"/>
        <v>101.08541333917927</v>
      </c>
      <c r="R24" s="154">
        <f t="shared" si="7"/>
        <v>102.08966208386833</v>
      </c>
      <c r="S24" s="154">
        <f t="shared" si="8"/>
        <v>103.22387857150315</v>
      </c>
    </row>
    <row r="25" spans="1:19">
      <c r="A25" t="s">
        <v>35</v>
      </c>
      <c r="B25" t="s">
        <v>61</v>
      </c>
      <c r="C25" s="620">
        <v>330523</v>
      </c>
      <c r="D25" s="620">
        <v>335665</v>
      </c>
      <c r="E25" s="620">
        <v>341147</v>
      </c>
      <c r="F25" s="620">
        <v>344962</v>
      </c>
      <c r="G25" s="620">
        <v>347269</v>
      </c>
      <c r="H25" s="620">
        <v>349639</v>
      </c>
      <c r="I25" s="620">
        <v>355468</v>
      </c>
      <c r="J25" s="620">
        <v>366108</v>
      </c>
      <c r="K25" s="158">
        <f t="shared" si="0"/>
        <v>1.4714656334347506E-2</v>
      </c>
      <c r="L25">
        <v>100</v>
      </c>
      <c r="M25" s="154">
        <f t="shared" si="2"/>
        <v>101.55571624365021</v>
      </c>
      <c r="N25" s="154">
        <f t="shared" si="3"/>
        <v>103.21429976128742</v>
      </c>
      <c r="O25" s="154">
        <f t="shared" si="4"/>
        <v>104.36853108558255</v>
      </c>
      <c r="P25" s="154">
        <f t="shared" si="5"/>
        <v>105.06651579466481</v>
      </c>
      <c r="Q25" s="154">
        <f t="shared" si="6"/>
        <v>105.78356120451527</v>
      </c>
      <c r="R25" s="154">
        <f t="shared" si="7"/>
        <v>107.54712985178037</v>
      </c>
      <c r="S25" s="154">
        <f t="shared" si="8"/>
        <v>110.76627042596128</v>
      </c>
    </row>
    <row r="26" spans="1:19">
      <c r="A26" t="s">
        <v>36</v>
      </c>
      <c r="B26" t="s">
        <v>37</v>
      </c>
      <c r="C26" s="620">
        <v>281586</v>
      </c>
      <c r="D26" s="620">
        <v>282118</v>
      </c>
      <c r="E26" s="620">
        <v>283787</v>
      </c>
      <c r="F26" s="620">
        <v>283395</v>
      </c>
      <c r="G26" s="620">
        <v>280166</v>
      </c>
      <c r="H26" s="620">
        <v>276821</v>
      </c>
      <c r="I26" s="620">
        <v>280889</v>
      </c>
      <c r="J26" s="620">
        <v>285248</v>
      </c>
      <c r="K26" s="158">
        <f t="shared" si="0"/>
        <v>1.847571830811634E-3</v>
      </c>
      <c r="L26">
        <v>100</v>
      </c>
      <c r="M26" s="154">
        <f t="shared" si="2"/>
        <v>100.18892984736456</v>
      </c>
      <c r="N26" s="154">
        <f t="shared" si="3"/>
        <v>100.78164397377711</v>
      </c>
      <c r="O26" s="154">
        <f t="shared" si="4"/>
        <v>100.64243250729794</v>
      </c>
      <c r="P26" s="154">
        <f t="shared" si="5"/>
        <v>99.495713565305095</v>
      </c>
      <c r="Q26" s="154">
        <f t="shared" si="6"/>
        <v>98.307799393435758</v>
      </c>
      <c r="R26" s="154">
        <f t="shared" si="7"/>
        <v>99.752473489449045</v>
      </c>
      <c r="S26" s="154">
        <f t="shared" si="8"/>
        <v>101.30049079144561</v>
      </c>
    </row>
    <row r="27" spans="1:19">
      <c r="A27" t="s">
        <v>38</v>
      </c>
      <c r="B27" t="s">
        <v>39</v>
      </c>
      <c r="C27" s="620">
        <v>279463</v>
      </c>
      <c r="D27" s="620">
        <v>285861</v>
      </c>
      <c r="E27" s="620">
        <v>292356</v>
      </c>
      <c r="F27" s="620">
        <v>295018</v>
      </c>
      <c r="G27" s="620">
        <v>296498</v>
      </c>
      <c r="H27" s="620">
        <v>298990</v>
      </c>
      <c r="I27" s="620">
        <v>304272</v>
      </c>
      <c r="J27" s="620">
        <v>312320</v>
      </c>
      <c r="K27" s="158">
        <f t="shared" si="0"/>
        <v>1.6006524852367136E-2</v>
      </c>
      <c r="L27">
        <v>100</v>
      </c>
      <c r="M27" s="154">
        <f t="shared" si="2"/>
        <v>102.2893907243535</v>
      </c>
      <c r="N27" s="154">
        <f t="shared" si="3"/>
        <v>104.61349087356824</v>
      </c>
      <c r="O27" s="154">
        <f t="shared" si="4"/>
        <v>105.56603199708012</v>
      </c>
      <c r="P27" s="154">
        <f t="shared" si="5"/>
        <v>106.09561909805592</v>
      </c>
      <c r="Q27" s="154">
        <f t="shared" si="6"/>
        <v>106.98732927078002</v>
      </c>
      <c r="R27" s="154">
        <f t="shared" si="7"/>
        <v>108.87738269466797</v>
      </c>
      <c r="S27" s="154">
        <f t="shared" si="8"/>
        <v>111.75719147078505</v>
      </c>
    </row>
    <row r="28" spans="1:19">
      <c r="A28" t="s">
        <v>40</v>
      </c>
      <c r="B28" t="s">
        <v>41</v>
      </c>
      <c r="C28" s="620">
        <v>247030</v>
      </c>
      <c r="D28" s="620">
        <v>248796</v>
      </c>
      <c r="E28" s="620">
        <v>250931</v>
      </c>
      <c r="F28" s="620">
        <v>249068</v>
      </c>
      <c r="G28" s="620">
        <v>249210</v>
      </c>
      <c r="H28" s="620">
        <v>248732</v>
      </c>
      <c r="I28" s="620">
        <v>250320</v>
      </c>
      <c r="J28" s="620">
        <v>254581</v>
      </c>
      <c r="K28" s="158">
        <f t="shared" si="0"/>
        <v>4.3105882200305057E-3</v>
      </c>
      <c r="L28">
        <v>100</v>
      </c>
      <c r="M28" s="154">
        <f t="shared" si="2"/>
        <v>100.71489292798445</v>
      </c>
      <c r="N28" s="154">
        <f t="shared" si="3"/>
        <v>101.57916042585921</v>
      </c>
      <c r="O28" s="154">
        <f t="shared" si="4"/>
        <v>100.82500101202282</v>
      </c>
      <c r="P28" s="154">
        <f t="shared" si="5"/>
        <v>100.88248390883699</v>
      </c>
      <c r="Q28" s="154">
        <f t="shared" si="6"/>
        <v>100.68898514350484</v>
      </c>
      <c r="R28" s="154">
        <f t="shared" si="7"/>
        <v>101.33182204590537</v>
      </c>
      <c r="S28" s="154">
        <f t="shared" si="8"/>
        <v>103.05671375946241</v>
      </c>
    </row>
    <row r="29" spans="1:19">
      <c r="A29" t="s">
        <v>42</v>
      </c>
      <c r="B29" t="s">
        <v>43</v>
      </c>
      <c r="C29" s="620">
        <v>206303</v>
      </c>
      <c r="D29" s="620">
        <v>209083</v>
      </c>
      <c r="E29" s="620">
        <v>210343</v>
      </c>
      <c r="F29" s="620">
        <v>209351</v>
      </c>
      <c r="G29" s="620">
        <v>209433</v>
      </c>
      <c r="H29" s="620">
        <v>208191</v>
      </c>
      <c r="I29" s="620">
        <v>208392</v>
      </c>
      <c r="J29" s="620">
        <v>210415</v>
      </c>
      <c r="K29" s="158">
        <f t="shared" si="0"/>
        <v>2.8233795636678632E-3</v>
      </c>
      <c r="L29">
        <v>100</v>
      </c>
      <c r="M29" s="154">
        <f t="shared" si="2"/>
        <v>101.34753251285731</v>
      </c>
      <c r="N29" s="154">
        <f t="shared" si="3"/>
        <v>101.95828465897247</v>
      </c>
      <c r="O29" s="154">
        <f t="shared" si="4"/>
        <v>101.47743852488816</v>
      </c>
      <c r="P29" s="154">
        <f t="shared" si="5"/>
        <v>101.51718588677818</v>
      </c>
      <c r="Q29" s="154">
        <f t="shared" si="6"/>
        <v>100.9151587713218</v>
      </c>
      <c r="R29" s="154">
        <f t="shared" si="7"/>
        <v>101.01258828034494</v>
      </c>
      <c r="S29" s="154">
        <f t="shared" si="8"/>
        <v>101.99318478160764</v>
      </c>
    </row>
    <row r="30" spans="1:19">
      <c r="A30" t="s">
        <v>44</v>
      </c>
      <c r="B30" t="s">
        <v>45</v>
      </c>
      <c r="C30" s="620">
        <v>202854</v>
      </c>
      <c r="D30" s="620">
        <v>203976</v>
      </c>
      <c r="E30" s="620">
        <v>207434</v>
      </c>
      <c r="F30" s="620">
        <v>207190</v>
      </c>
      <c r="G30" s="620">
        <v>208302</v>
      </c>
      <c r="H30" s="620">
        <v>209361</v>
      </c>
      <c r="I30" s="620">
        <v>212932</v>
      </c>
      <c r="J30" s="620">
        <v>216861</v>
      </c>
      <c r="K30" s="158">
        <f t="shared" si="0"/>
        <v>9.5842211148522132E-3</v>
      </c>
      <c r="L30">
        <v>100</v>
      </c>
      <c r="M30" s="154">
        <f t="shared" si="2"/>
        <v>100.55310716081516</v>
      </c>
      <c r="N30" s="154">
        <f t="shared" si="3"/>
        <v>102.25778145858597</v>
      </c>
      <c r="O30" s="154">
        <f t="shared" si="4"/>
        <v>102.13749790489712</v>
      </c>
      <c r="P30" s="154">
        <f t="shared" si="5"/>
        <v>102.68567541187257</v>
      </c>
      <c r="Q30" s="154">
        <f t="shared" si="6"/>
        <v>103.2077257534976</v>
      </c>
      <c r="R30" s="154">
        <f t="shared" si="7"/>
        <v>104.96810513965708</v>
      </c>
      <c r="S30" s="154">
        <f t="shared" si="8"/>
        <v>106.90496613327811</v>
      </c>
    </row>
    <row r="31" spans="1:19">
      <c r="A31" t="s">
        <v>46</v>
      </c>
      <c r="B31" t="s">
        <v>47</v>
      </c>
      <c r="C31" s="620">
        <v>181626</v>
      </c>
      <c r="D31" s="620">
        <v>180394</v>
      </c>
      <c r="E31" s="620">
        <v>180851</v>
      </c>
      <c r="F31" s="620">
        <v>178463</v>
      </c>
      <c r="G31" s="620">
        <v>176268</v>
      </c>
      <c r="H31" s="620">
        <v>175053</v>
      </c>
      <c r="I31" s="620">
        <v>175556</v>
      </c>
      <c r="J31" s="620">
        <v>175929</v>
      </c>
      <c r="K31" s="158">
        <f t="shared" si="0"/>
        <v>-4.5423839073506084E-3</v>
      </c>
      <c r="L31">
        <v>100</v>
      </c>
      <c r="M31" s="154">
        <f t="shared" si="2"/>
        <v>99.321683018951035</v>
      </c>
      <c r="N31" s="154">
        <f t="shared" si="3"/>
        <v>99.573298977018709</v>
      </c>
      <c r="O31" s="154">
        <f t="shared" si="4"/>
        <v>98.258509244271195</v>
      </c>
      <c r="P31" s="154">
        <f t="shared" si="5"/>
        <v>97.049981830795147</v>
      </c>
      <c r="Q31" s="154">
        <f t="shared" si="6"/>
        <v>96.381024743153503</v>
      </c>
      <c r="R31" s="154">
        <f t="shared" si="7"/>
        <v>96.657967471617496</v>
      </c>
      <c r="S31" s="154">
        <f t="shared" si="8"/>
        <v>96.86333454461365</v>
      </c>
    </row>
    <row r="32" spans="1:19">
      <c r="A32" t="s">
        <v>56</v>
      </c>
      <c r="B32" t="s">
        <v>63</v>
      </c>
      <c r="C32" s="620">
        <v>122331</v>
      </c>
      <c r="D32" s="620">
        <v>124030</v>
      </c>
      <c r="E32" s="620">
        <v>125146</v>
      </c>
      <c r="F32" s="620">
        <v>124284</v>
      </c>
      <c r="G32" s="620">
        <v>123982</v>
      </c>
      <c r="H32" s="620">
        <v>123885</v>
      </c>
      <c r="I32" s="620">
        <v>125345</v>
      </c>
      <c r="J32" s="620">
        <v>127601</v>
      </c>
      <c r="K32" s="158">
        <f t="shared" si="0"/>
        <v>6.0435780604143948E-3</v>
      </c>
      <c r="L32">
        <v>100</v>
      </c>
      <c r="M32" s="154">
        <f t="shared" si="2"/>
        <v>101.38885482829372</v>
      </c>
      <c r="N32" s="154">
        <f t="shared" si="3"/>
        <v>102.30113380909171</v>
      </c>
      <c r="O32" s="154">
        <f t="shared" si="4"/>
        <v>101.59648821639651</v>
      </c>
      <c r="P32" s="154">
        <f t="shared" si="5"/>
        <v>101.349617022668</v>
      </c>
      <c r="Q32" s="154">
        <f t="shared" si="6"/>
        <v>101.27032395713269</v>
      </c>
      <c r="R32" s="154">
        <f t="shared" si="7"/>
        <v>102.46380721158171</v>
      </c>
      <c r="S32" s="154">
        <f t="shared" si="8"/>
        <v>104.30798407599056</v>
      </c>
    </row>
    <row r="33" spans="1:19">
      <c r="A33" t="s">
        <v>57</v>
      </c>
      <c r="B33" t="s">
        <v>64</v>
      </c>
      <c r="C33" s="620">
        <v>122062</v>
      </c>
      <c r="D33" s="620">
        <v>121751</v>
      </c>
      <c r="E33" s="620">
        <v>122643</v>
      </c>
      <c r="F33" s="620">
        <v>119996</v>
      </c>
      <c r="G33" s="620">
        <v>119377</v>
      </c>
      <c r="H33" s="620">
        <v>119997</v>
      </c>
      <c r="I33" s="620">
        <v>122378</v>
      </c>
      <c r="J33" s="620">
        <v>125760</v>
      </c>
      <c r="K33" s="158">
        <f t="shared" si="0"/>
        <v>4.2728478819891213E-3</v>
      </c>
      <c r="L33">
        <v>100</v>
      </c>
      <c r="M33" s="154">
        <f t="shared" si="2"/>
        <v>99.745211449918898</v>
      </c>
      <c r="N33" s="154">
        <f t="shared" si="3"/>
        <v>100.47598761285248</v>
      </c>
      <c r="O33" s="154">
        <f t="shared" si="4"/>
        <v>98.307417541904925</v>
      </c>
      <c r="P33" s="154">
        <f t="shared" si="5"/>
        <v>97.800298209106856</v>
      </c>
      <c r="Q33" s="154">
        <f t="shared" si="6"/>
        <v>98.30823679769297</v>
      </c>
      <c r="R33" s="154">
        <f t="shared" si="7"/>
        <v>100.25888482902133</v>
      </c>
      <c r="S33" s="154">
        <f t="shared" si="8"/>
        <v>103.02960790417985</v>
      </c>
    </row>
    <row r="34" spans="1:19">
      <c r="A34" t="s">
        <v>48</v>
      </c>
      <c r="B34" t="s">
        <v>49</v>
      </c>
      <c r="C34" s="620">
        <v>152974</v>
      </c>
      <c r="D34" s="620">
        <v>155904</v>
      </c>
      <c r="E34" s="620">
        <v>158040</v>
      </c>
      <c r="F34" s="620">
        <v>157946</v>
      </c>
      <c r="G34" s="620">
        <v>157600</v>
      </c>
      <c r="H34" s="620">
        <v>160048</v>
      </c>
      <c r="I34" s="620">
        <v>164033</v>
      </c>
      <c r="J34" s="620">
        <v>167207</v>
      </c>
      <c r="K34" s="158">
        <f t="shared" si="0"/>
        <v>1.2790333107019878E-2</v>
      </c>
      <c r="L34">
        <v>100</v>
      </c>
      <c r="M34" s="154">
        <f t="shared" si="2"/>
        <v>101.91535816543988</v>
      </c>
      <c r="N34" s="154">
        <f t="shared" si="3"/>
        <v>103.31167387922132</v>
      </c>
      <c r="O34" s="154">
        <f t="shared" si="4"/>
        <v>103.25022552852118</v>
      </c>
      <c r="P34" s="154">
        <f t="shared" si="5"/>
        <v>103.02404330147607</v>
      </c>
      <c r="Q34" s="154">
        <f t="shared" si="6"/>
        <v>104.62431524311322</v>
      </c>
      <c r="R34" s="154">
        <f t="shared" si="7"/>
        <v>107.22933308928316</v>
      </c>
      <c r="S34" s="154">
        <f t="shared" si="8"/>
        <v>109.30419548419994</v>
      </c>
    </row>
    <row r="35" spans="1:19">
      <c r="A35" t="s">
        <v>58</v>
      </c>
      <c r="B35" t="s">
        <v>65</v>
      </c>
      <c r="C35" s="620">
        <v>123116</v>
      </c>
      <c r="D35" s="620">
        <v>125408</v>
      </c>
      <c r="E35" s="620">
        <v>125090</v>
      </c>
      <c r="F35" s="620">
        <v>123964</v>
      </c>
      <c r="G35" s="620">
        <v>123864</v>
      </c>
      <c r="H35" s="620">
        <v>122710</v>
      </c>
      <c r="I35" s="620">
        <v>122449</v>
      </c>
      <c r="J35" s="620">
        <v>124641</v>
      </c>
      <c r="K35" s="158">
        <f t="shared" si="0"/>
        <v>1.7602051774817224E-3</v>
      </c>
      <c r="L35">
        <v>100</v>
      </c>
      <c r="M35" s="154">
        <f t="shared" si="2"/>
        <v>101.86165892329187</v>
      </c>
      <c r="N35" s="154">
        <f t="shared" si="3"/>
        <v>101.6033659313168</v>
      </c>
      <c r="O35" s="154">
        <f t="shared" si="4"/>
        <v>100.68878131193347</v>
      </c>
      <c r="P35" s="154">
        <f t="shared" si="5"/>
        <v>100.60755710062055</v>
      </c>
      <c r="Q35" s="154">
        <f t="shared" si="6"/>
        <v>99.670229702069591</v>
      </c>
      <c r="R35" s="154">
        <f t="shared" si="7"/>
        <v>99.458234510542894</v>
      </c>
      <c r="S35" s="154">
        <f t="shared" si="8"/>
        <v>101.23866922252185</v>
      </c>
    </row>
    <row r="36" spans="1:19">
      <c r="A36" t="s">
        <v>254</v>
      </c>
      <c r="B36" t="s">
        <v>234</v>
      </c>
      <c r="C36" s="620">
        <v>292219</v>
      </c>
      <c r="D36" s="620">
        <v>292756</v>
      </c>
      <c r="E36" s="620">
        <v>294030</v>
      </c>
      <c r="F36" s="620">
        <v>293878</v>
      </c>
      <c r="G36" s="620">
        <v>290617</v>
      </c>
      <c r="H36" s="620">
        <v>286905</v>
      </c>
      <c r="I36" s="620">
        <v>290997</v>
      </c>
      <c r="J36" s="620">
        <v>295606</v>
      </c>
      <c r="K36" s="158">
        <f t="shared" si="0"/>
        <v>1.6476366368217373E-3</v>
      </c>
      <c r="L36">
        <v>100</v>
      </c>
      <c r="M36" s="154">
        <f t="shared" si="2"/>
        <v>100.18376628487538</v>
      </c>
      <c r="N36" s="154">
        <f t="shared" si="3"/>
        <v>100.61974067394659</v>
      </c>
      <c r="O36" s="154">
        <f t="shared" si="4"/>
        <v>100.56772489126307</v>
      </c>
      <c r="P36" s="154">
        <f t="shared" si="5"/>
        <v>99.451781027243271</v>
      </c>
      <c r="Q36" s="154">
        <f t="shared" si="6"/>
        <v>98.181500860655873</v>
      </c>
      <c r="R36" s="154">
        <f t="shared" si="7"/>
        <v>99.5818204839521</v>
      </c>
      <c r="S36" s="154">
        <f t="shared" si="8"/>
        <v>101.15906221019166</v>
      </c>
    </row>
    <row r="37" spans="1:19">
      <c r="A37" t="s">
        <v>255</v>
      </c>
      <c r="B37" t="s">
        <v>235</v>
      </c>
      <c r="C37" s="620">
        <v>559494</v>
      </c>
      <c r="D37" s="620">
        <v>563117</v>
      </c>
      <c r="E37" s="620">
        <v>569601</v>
      </c>
      <c r="F37" s="620">
        <v>571180</v>
      </c>
      <c r="G37" s="620">
        <v>571399</v>
      </c>
      <c r="H37" s="620">
        <v>576145</v>
      </c>
      <c r="I37" s="620">
        <v>582508</v>
      </c>
      <c r="J37" s="620">
        <v>591108</v>
      </c>
      <c r="K37" s="158">
        <f t="shared" si="0"/>
        <v>7.8831868337749106E-3</v>
      </c>
      <c r="L37">
        <v>100</v>
      </c>
      <c r="M37" s="154">
        <f t="shared" si="2"/>
        <v>100.64754939284424</v>
      </c>
      <c r="N37" s="154">
        <f t="shared" si="3"/>
        <v>101.8064536885114</v>
      </c>
      <c r="O37" s="154">
        <f t="shared" si="4"/>
        <v>102.08867297951363</v>
      </c>
      <c r="P37" s="154">
        <f t="shared" si="5"/>
        <v>102.12781549042526</v>
      </c>
      <c r="Q37" s="154">
        <f t="shared" si="6"/>
        <v>102.9760819597708</v>
      </c>
      <c r="R37" s="154">
        <f t="shared" si="7"/>
        <v>104.11335957132695</v>
      </c>
      <c r="S37" s="154">
        <f t="shared" si="8"/>
        <v>105.65046273954681</v>
      </c>
    </row>
    <row r="38" spans="1:19">
      <c r="A38" t="s">
        <v>256</v>
      </c>
      <c r="B38" t="s">
        <v>236</v>
      </c>
      <c r="C38" s="620">
        <v>392109</v>
      </c>
      <c r="D38" s="620">
        <v>401094</v>
      </c>
      <c r="E38" s="620">
        <v>409939</v>
      </c>
      <c r="F38" s="620">
        <v>415598</v>
      </c>
      <c r="G38" s="620">
        <v>418583</v>
      </c>
      <c r="H38" s="620">
        <v>421692</v>
      </c>
      <c r="I38" s="620">
        <v>428746</v>
      </c>
      <c r="J38" s="620">
        <v>442153</v>
      </c>
      <c r="K38" s="158">
        <f t="shared" ref="K38:K54" si="9">+RATE((2016-2009),,-C38,J38)</f>
        <v>1.7307513796888579E-2</v>
      </c>
      <c r="L38">
        <v>100</v>
      </c>
      <c r="M38" s="154">
        <f t="shared" si="2"/>
        <v>102.29145467204273</v>
      </c>
      <c r="N38" s="154">
        <f t="shared" si="3"/>
        <v>104.54720498636858</v>
      </c>
      <c r="O38" s="154">
        <f t="shared" si="4"/>
        <v>105.99042613150935</v>
      </c>
      <c r="P38" s="154">
        <f t="shared" si="5"/>
        <v>106.7516940442581</v>
      </c>
      <c r="Q38" s="154">
        <f t="shared" si="6"/>
        <v>107.54458581669893</v>
      </c>
      <c r="R38" s="154">
        <f t="shared" si="7"/>
        <v>109.34357538337554</v>
      </c>
      <c r="S38" s="154">
        <f t="shared" si="8"/>
        <v>112.76277769701792</v>
      </c>
    </row>
    <row r="39" spans="1:19">
      <c r="A39" t="s">
        <v>71</v>
      </c>
      <c r="B39" t="s">
        <v>72</v>
      </c>
      <c r="C39" s="620">
        <v>385475</v>
      </c>
      <c r="D39" s="620">
        <v>391219</v>
      </c>
      <c r="E39" s="620">
        <v>397443</v>
      </c>
      <c r="F39" s="620">
        <v>401792</v>
      </c>
      <c r="G39" s="620">
        <v>404735</v>
      </c>
      <c r="H39" s="620">
        <v>406811</v>
      </c>
      <c r="I39" s="620">
        <v>412336</v>
      </c>
      <c r="J39" s="620">
        <v>424071</v>
      </c>
      <c r="K39" s="158">
        <f t="shared" si="9"/>
        <v>1.3725419590932946E-2</v>
      </c>
      <c r="L39">
        <v>100</v>
      </c>
      <c r="M39" s="154">
        <f t="shared" si="2"/>
        <v>101.49010960503276</v>
      </c>
      <c r="N39" s="154">
        <f t="shared" si="3"/>
        <v>103.10474090407938</v>
      </c>
      <c r="O39" s="154">
        <f t="shared" si="4"/>
        <v>104.2329593358843</v>
      </c>
      <c r="P39" s="154">
        <f t="shared" si="5"/>
        <v>104.99643297230689</v>
      </c>
      <c r="Q39" s="154">
        <f t="shared" si="6"/>
        <v>105.53498929891691</v>
      </c>
      <c r="R39" s="154">
        <f t="shared" si="7"/>
        <v>106.96828588105585</v>
      </c>
      <c r="S39" s="154">
        <f t="shared" si="8"/>
        <v>110.01258187949932</v>
      </c>
    </row>
    <row r="40" spans="1:19">
      <c r="A40" t="s">
        <v>257</v>
      </c>
      <c r="B40" t="s">
        <v>237</v>
      </c>
      <c r="C40" s="620">
        <v>241438</v>
      </c>
      <c r="D40" s="620">
        <v>245287</v>
      </c>
      <c r="E40" s="620">
        <v>246828</v>
      </c>
      <c r="F40" s="620">
        <v>245937</v>
      </c>
      <c r="G40" s="620">
        <v>245803</v>
      </c>
      <c r="H40" s="620">
        <v>248129</v>
      </c>
      <c r="I40" s="620">
        <v>253823</v>
      </c>
      <c r="J40" s="620">
        <v>258949</v>
      </c>
      <c r="K40" s="158">
        <f t="shared" si="9"/>
        <v>1.0052824927841188E-2</v>
      </c>
      <c r="L40">
        <v>100</v>
      </c>
      <c r="M40" s="154">
        <f t="shared" si="2"/>
        <v>101.59419809640571</v>
      </c>
      <c r="N40" s="154">
        <f t="shared" si="3"/>
        <v>102.2324571939794</v>
      </c>
      <c r="O40" s="154">
        <f t="shared" si="4"/>
        <v>101.86341835170933</v>
      </c>
      <c r="P40" s="154">
        <f t="shared" si="5"/>
        <v>101.80791756061598</v>
      </c>
      <c r="Q40" s="154">
        <f t="shared" si="6"/>
        <v>102.77131188959486</v>
      </c>
      <c r="R40" s="154">
        <f t="shared" si="7"/>
        <v>105.12968132605471</v>
      </c>
      <c r="S40" s="154">
        <f t="shared" si="8"/>
        <v>107.25279367788004</v>
      </c>
    </row>
    <row r="41" spans="1:19">
      <c r="A41" t="s">
        <v>258</v>
      </c>
      <c r="B41" t="s">
        <v>238</v>
      </c>
      <c r="C41" s="620">
        <v>282766</v>
      </c>
      <c r="D41" s="620">
        <v>286394</v>
      </c>
      <c r="E41" s="620">
        <v>290642</v>
      </c>
      <c r="F41" s="620">
        <v>289404</v>
      </c>
      <c r="G41" s="620">
        <v>290100</v>
      </c>
      <c r="H41" s="620">
        <v>291930</v>
      </c>
      <c r="I41" s="620">
        <v>296740</v>
      </c>
      <c r="J41" s="620">
        <v>303057</v>
      </c>
      <c r="K41" s="158">
        <f t="shared" si="9"/>
        <v>9.9493411380032412E-3</v>
      </c>
      <c r="L41">
        <v>100</v>
      </c>
      <c r="M41" s="154">
        <f t="shared" si="2"/>
        <v>101.28303968652526</v>
      </c>
      <c r="N41" s="154">
        <f t="shared" si="3"/>
        <v>102.78534194351514</v>
      </c>
      <c r="O41" s="154">
        <f t="shared" si="4"/>
        <v>102.34752410120029</v>
      </c>
      <c r="P41" s="154">
        <f t="shared" si="5"/>
        <v>102.59366401901218</v>
      </c>
      <c r="Q41" s="154">
        <f t="shared" si="6"/>
        <v>103.24084225119003</v>
      </c>
      <c r="R41" s="154">
        <f t="shared" si="7"/>
        <v>104.94189541882687</v>
      </c>
      <c r="S41" s="154">
        <f t="shared" si="8"/>
        <v>107.17589809241564</v>
      </c>
    </row>
    <row r="42" spans="1:19">
      <c r="A42" t="s">
        <v>259</v>
      </c>
      <c r="B42" t="s">
        <v>239</v>
      </c>
      <c r="C42" s="620">
        <v>329454</v>
      </c>
      <c r="D42" s="620">
        <v>333892</v>
      </c>
      <c r="E42" s="620">
        <v>335801</v>
      </c>
      <c r="F42" s="620">
        <v>333437</v>
      </c>
      <c r="G42" s="620">
        <v>335486</v>
      </c>
      <c r="H42" s="620">
        <v>334495</v>
      </c>
      <c r="I42" s="620">
        <v>335305</v>
      </c>
      <c r="J42" s="620">
        <v>339682</v>
      </c>
      <c r="K42" s="158">
        <f t="shared" si="9"/>
        <v>4.3771442755679542E-3</v>
      </c>
      <c r="L42">
        <v>100</v>
      </c>
      <c r="M42" s="154">
        <f t="shared" si="2"/>
        <v>101.34707728544805</v>
      </c>
      <c r="N42" s="154">
        <f t="shared" si="3"/>
        <v>101.92652084964821</v>
      </c>
      <c r="O42" s="154">
        <f t="shared" si="4"/>
        <v>101.20896999277593</v>
      </c>
      <c r="P42" s="154">
        <f t="shared" si="5"/>
        <v>101.83090810856751</v>
      </c>
      <c r="Q42" s="154">
        <f t="shared" si="6"/>
        <v>101.53010738980252</v>
      </c>
      <c r="R42" s="154">
        <f t="shared" si="7"/>
        <v>101.77596872401003</v>
      </c>
      <c r="S42" s="154">
        <f t="shared" si="8"/>
        <v>103.10453052626467</v>
      </c>
    </row>
    <row r="43" spans="1:19">
      <c r="A43" t="s">
        <v>260</v>
      </c>
      <c r="B43" t="s">
        <v>240</v>
      </c>
      <c r="C43" s="620">
        <v>380698</v>
      </c>
      <c r="D43" s="620">
        <v>387721</v>
      </c>
      <c r="E43" s="620">
        <v>396303</v>
      </c>
      <c r="F43" s="620">
        <v>399711</v>
      </c>
      <c r="G43" s="620">
        <v>401123</v>
      </c>
      <c r="H43" s="620">
        <v>403438</v>
      </c>
      <c r="I43" s="620">
        <v>410822</v>
      </c>
      <c r="J43" s="620">
        <v>422154</v>
      </c>
      <c r="K43" s="158">
        <f t="shared" si="9"/>
        <v>1.4875812056634527E-2</v>
      </c>
      <c r="L43">
        <v>100</v>
      </c>
      <c r="M43" s="154">
        <f t="shared" si="2"/>
        <v>101.84476934472994</v>
      </c>
      <c r="N43" s="154">
        <f t="shared" si="3"/>
        <v>104.09904964039738</v>
      </c>
      <c r="O43" s="154">
        <f t="shared" si="4"/>
        <v>104.99424740870715</v>
      </c>
      <c r="P43" s="154">
        <f t="shared" si="5"/>
        <v>105.36514507562424</v>
      </c>
      <c r="Q43" s="154">
        <f t="shared" si="6"/>
        <v>105.97323863009524</v>
      </c>
      <c r="R43" s="154">
        <f t="shared" si="7"/>
        <v>107.91283379476646</v>
      </c>
      <c r="S43" s="154">
        <f t="shared" si="8"/>
        <v>110.8894714445571</v>
      </c>
    </row>
    <row r="44" spans="1:19">
      <c r="A44" t="s">
        <v>261</v>
      </c>
      <c r="B44" t="s">
        <v>241</v>
      </c>
      <c r="C44" s="620">
        <v>689300</v>
      </c>
      <c r="D44" s="620">
        <v>693936</v>
      </c>
      <c r="E44" s="620">
        <v>700595</v>
      </c>
      <c r="F44" s="620">
        <v>694465</v>
      </c>
      <c r="G44" s="620">
        <v>689435</v>
      </c>
      <c r="H44" s="620">
        <v>689284</v>
      </c>
      <c r="I44" s="620">
        <v>692885</v>
      </c>
      <c r="J44" s="620">
        <v>699626</v>
      </c>
      <c r="K44" s="158">
        <f t="shared" si="9"/>
        <v>2.1264457795489612E-3</v>
      </c>
      <c r="L44">
        <v>100</v>
      </c>
      <c r="M44" s="154">
        <f t="shared" si="2"/>
        <v>100.67256637168143</v>
      </c>
      <c r="N44" s="154">
        <f t="shared" si="3"/>
        <v>101.63861888872769</v>
      </c>
      <c r="O44" s="154">
        <f t="shared" si="4"/>
        <v>100.74931089511099</v>
      </c>
      <c r="P44" s="154">
        <f t="shared" si="5"/>
        <v>100.01958508631945</v>
      </c>
      <c r="Q44" s="154">
        <f t="shared" si="6"/>
        <v>99.997678804584353</v>
      </c>
      <c r="R44" s="154">
        <f t="shared" si="7"/>
        <v>100.52009284781663</v>
      </c>
      <c r="S44" s="154">
        <f t="shared" si="8"/>
        <v>101.49804149136806</v>
      </c>
    </row>
    <row r="45" spans="1:19">
      <c r="A45" t="s">
        <v>262</v>
      </c>
      <c r="B45" t="s">
        <v>247</v>
      </c>
      <c r="C45" s="620">
        <v>319858</v>
      </c>
      <c r="D45" s="620">
        <v>320543</v>
      </c>
      <c r="E45" s="620">
        <v>321408</v>
      </c>
      <c r="F45" s="620">
        <v>314245</v>
      </c>
      <c r="G45" s="620">
        <v>311215</v>
      </c>
      <c r="H45" s="620">
        <v>310356</v>
      </c>
      <c r="I45" s="620">
        <v>311423</v>
      </c>
      <c r="J45" s="620">
        <v>314096</v>
      </c>
      <c r="K45" s="158">
        <f t="shared" si="9"/>
        <v>-2.5935559987962441E-3</v>
      </c>
      <c r="L45">
        <v>100</v>
      </c>
      <c r="M45" s="154">
        <f t="shared" si="2"/>
        <v>100.21415753240501</v>
      </c>
      <c r="N45" s="154">
        <f t="shared" si="3"/>
        <v>100.48459003682883</v>
      </c>
      <c r="O45" s="154">
        <f t="shared" si="4"/>
        <v>98.245158789212724</v>
      </c>
      <c r="P45" s="154">
        <f t="shared" si="5"/>
        <v>97.297863426895674</v>
      </c>
      <c r="Q45" s="154">
        <f t="shared" si="6"/>
        <v>97.029306754872479</v>
      </c>
      <c r="R45" s="154">
        <f t="shared" si="7"/>
        <v>97.36289228345079</v>
      </c>
      <c r="S45" s="154">
        <f t="shared" si="8"/>
        <v>98.198575617930459</v>
      </c>
    </row>
    <row r="46" spans="1:19">
      <c r="A46" t="s">
        <v>263</v>
      </c>
      <c r="B46" t="s">
        <v>242</v>
      </c>
      <c r="C46" s="620">
        <v>332422</v>
      </c>
      <c r="D46" s="620">
        <v>336197</v>
      </c>
      <c r="E46" s="620">
        <v>339509</v>
      </c>
      <c r="F46" s="620">
        <v>336460</v>
      </c>
      <c r="G46" s="620">
        <v>336353</v>
      </c>
      <c r="H46" s="620">
        <v>335038</v>
      </c>
      <c r="I46" s="620">
        <v>336051</v>
      </c>
      <c r="J46" s="620">
        <v>340766</v>
      </c>
      <c r="K46" s="158">
        <f t="shared" si="9"/>
        <v>3.5478184633706265E-3</v>
      </c>
      <c r="L46">
        <v>100</v>
      </c>
      <c r="M46" s="154">
        <f t="shared" si="2"/>
        <v>101.13560474336838</v>
      </c>
      <c r="N46" s="154">
        <f t="shared" si="3"/>
        <v>102.13192869304679</v>
      </c>
      <c r="O46" s="154">
        <f t="shared" si="4"/>
        <v>101.21472104734343</v>
      </c>
      <c r="P46" s="154">
        <f t="shared" si="5"/>
        <v>101.18253304534596</v>
      </c>
      <c r="Q46" s="154">
        <f t="shared" si="6"/>
        <v>100.78695152547064</v>
      </c>
      <c r="R46" s="154">
        <f t="shared" si="7"/>
        <v>101.0916846658765</v>
      </c>
      <c r="S46" s="154">
        <f t="shared" si="8"/>
        <v>102.51006251090482</v>
      </c>
    </row>
    <row r="47" spans="1:19">
      <c r="A47" t="s">
        <v>264</v>
      </c>
      <c r="B47" t="s">
        <v>243</v>
      </c>
      <c r="C47" s="620">
        <v>629387</v>
      </c>
      <c r="D47" s="620">
        <v>639698</v>
      </c>
      <c r="E47" s="620">
        <v>650380</v>
      </c>
      <c r="F47" s="620">
        <v>652385</v>
      </c>
      <c r="G47" s="620">
        <v>654952</v>
      </c>
      <c r="H47" s="620">
        <v>661278</v>
      </c>
      <c r="I47" s="620">
        <v>672041</v>
      </c>
      <c r="J47" s="620">
        <v>683394</v>
      </c>
      <c r="K47" s="158">
        <f t="shared" si="9"/>
        <v>1.1830176670421048E-2</v>
      </c>
      <c r="L47">
        <v>100</v>
      </c>
      <c r="M47" s="154">
        <f t="shared" si="2"/>
        <v>101.63826072035171</v>
      </c>
      <c r="N47" s="154">
        <f t="shared" si="3"/>
        <v>103.33546768522388</v>
      </c>
      <c r="O47" s="154">
        <f t="shared" si="4"/>
        <v>103.65403162124416</v>
      </c>
      <c r="P47" s="154">
        <f t="shared" si="5"/>
        <v>104.0618887902038</v>
      </c>
      <c r="Q47" s="154">
        <f t="shared" si="6"/>
        <v>105.06699375741792</v>
      </c>
      <c r="R47" s="154">
        <f t="shared" si="7"/>
        <v>106.77707038753582</v>
      </c>
      <c r="S47" s="154">
        <f t="shared" si="8"/>
        <v>108.5808890237644</v>
      </c>
    </row>
    <row r="48" spans="1:19">
      <c r="A48" t="s">
        <v>265</v>
      </c>
      <c r="B48" t="s">
        <v>244</v>
      </c>
      <c r="C48" s="620">
        <v>345141</v>
      </c>
      <c r="D48" s="620">
        <v>345544</v>
      </c>
      <c r="E48" s="620">
        <v>346635</v>
      </c>
      <c r="F48" s="620">
        <v>341214</v>
      </c>
      <c r="G48" s="620">
        <v>336493</v>
      </c>
      <c r="H48" s="620">
        <v>335385</v>
      </c>
      <c r="I48" s="620">
        <v>333873</v>
      </c>
      <c r="J48" s="620">
        <v>334849</v>
      </c>
      <c r="K48" s="158">
        <f t="shared" si="9"/>
        <v>-4.3154252839404097E-3</v>
      </c>
      <c r="L48">
        <v>100</v>
      </c>
      <c r="M48" s="154">
        <f t="shared" si="2"/>
        <v>100.11676387331553</v>
      </c>
      <c r="N48" s="154">
        <f t="shared" si="3"/>
        <v>100.43286656757672</v>
      </c>
      <c r="O48" s="154">
        <f t="shared" si="4"/>
        <v>98.862204142654747</v>
      </c>
      <c r="P48" s="154">
        <f t="shared" si="5"/>
        <v>97.494357378578613</v>
      </c>
      <c r="Q48" s="154">
        <f t="shared" si="6"/>
        <v>97.173329161125451</v>
      </c>
      <c r="R48" s="154">
        <f t="shared" si="7"/>
        <v>96.73524733369841</v>
      </c>
      <c r="S48" s="154">
        <f t="shared" si="8"/>
        <v>97.018030312249195</v>
      </c>
    </row>
    <row r="49" spans="1:19">
      <c r="A49" t="s">
        <v>266</v>
      </c>
      <c r="B49" t="s">
        <v>245</v>
      </c>
      <c r="C49" s="620">
        <v>196661</v>
      </c>
      <c r="D49" s="620">
        <v>199948</v>
      </c>
      <c r="E49" s="620">
        <v>201066</v>
      </c>
      <c r="F49" s="620">
        <v>199057</v>
      </c>
      <c r="G49" s="620">
        <v>198288</v>
      </c>
      <c r="H49" s="620">
        <v>197707</v>
      </c>
      <c r="I49" s="620">
        <v>199461</v>
      </c>
      <c r="J49" s="620">
        <v>202643</v>
      </c>
      <c r="K49" s="158">
        <f t="shared" si="9"/>
        <v>4.2898000920557535E-3</v>
      </c>
      <c r="L49">
        <v>100</v>
      </c>
      <c r="M49" s="154">
        <f t="shared" si="2"/>
        <v>101.67140409130432</v>
      </c>
      <c r="N49" s="154">
        <f t="shared" si="3"/>
        <v>102.23989504782341</v>
      </c>
      <c r="O49" s="154">
        <f t="shared" si="4"/>
        <v>101.21834018946309</v>
      </c>
      <c r="P49" s="154">
        <f t="shared" si="5"/>
        <v>100.82731197339585</v>
      </c>
      <c r="Q49" s="154">
        <f t="shared" si="6"/>
        <v>100.53187973212788</v>
      </c>
      <c r="R49" s="154">
        <f t="shared" si="7"/>
        <v>101.423769837436</v>
      </c>
      <c r="S49" s="154">
        <f t="shared" si="8"/>
        <v>103.04178255983646</v>
      </c>
    </row>
    <row r="50" spans="1:19">
      <c r="A50" t="s">
        <v>267</v>
      </c>
      <c r="B50" t="s">
        <v>246</v>
      </c>
      <c r="C50" s="620">
        <v>131250</v>
      </c>
      <c r="D50" s="620">
        <v>133576</v>
      </c>
      <c r="E50" s="620">
        <v>132865</v>
      </c>
      <c r="F50" s="620">
        <v>131343</v>
      </c>
      <c r="G50" s="620">
        <v>130571</v>
      </c>
      <c r="H50" s="620">
        <v>129209</v>
      </c>
      <c r="I50" s="620">
        <v>128511</v>
      </c>
      <c r="J50" s="620">
        <v>130538</v>
      </c>
      <c r="K50" s="158">
        <f t="shared" si="9"/>
        <v>-7.7677377727808892E-4</v>
      </c>
      <c r="L50">
        <v>100</v>
      </c>
      <c r="M50" s="154">
        <f t="shared" si="2"/>
        <v>101.77219047619049</v>
      </c>
      <c r="N50" s="154">
        <f t="shared" si="3"/>
        <v>101.23047619047618</v>
      </c>
      <c r="O50" s="154">
        <f t="shared" si="4"/>
        <v>100.07085714285715</v>
      </c>
      <c r="P50" s="154">
        <f t="shared" si="5"/>
        <v>99.48266666666666</v>
      </c>
      <c r="Q50" s="154">
        <f t="shared" si="6"/>
        <v>98.444952380952373</v>
      </c>
      <c r="R50" s="154">
        <f t="shared" si="7"/>
        <v>97.913142857142859</v>
      </c>
      <c r="S50" s="154">
        <f t="shared" si="8"/>
        <v>99.457523809523806</v>
      </c>
    </row>
    <row r="51" spans="1:19">
      <c r="A51" t="s">
        <v>73</v>
      </c>
      <c r="B51" t="s">
        <v>74</v>
      </c>
      <c r="C51" s="620">
        <v>778425</v>
      </c>
      <c r="D51" s="620">
        <v>787938</v>
      </c>
      <c r="E51" s="620">
        <v>795713</v>
      </c>
      <c r="F51" s="620">
        <v>795855</v>
      </c>
      <c r="G51" s="620">
        <v>795837</v>
      </c>
      <c r="H51" s="620">
        <v>796925</v>
      </c>
      <c r="I51" s="620">
        <v>801968</v>
      </c>
      <c r="J51" s="620">
        <v>817907</v>
      </c>
      <c r="K51" s="158">
        <f t="shared" si="9"/>
        <v>7.0930359253618142E-3</v>
      </c>
      <c r="L51">
        <v>100</v>
      </c>
      <c r="M51" s="154">
        <f t="shared" si="2"/>
        <v>101.22208305231717</v>
      </c>
      <c r="N51" s="154">
        <f t="shared" si="3"/>
        <v>102.22089475543565</v>
      </c>
      <c r="O51" s="154">
        <f t="shared" si="4"/>
        <v>102.23913671837363</v>
      </c>
      <c r="P51" s="154">
        <f t="shared" si="5"/>
        <v>102.23682435687446</v>
      </c>
      <c r="Q51" s="154">
        <f t="shared" si="6"/>
        <v>102.37659376304717</v>
      </c>
      <c r="R51" s="154">
        <f t="shared" si="7"/>
        <v>103.02444037640106</v>
      </c>
      <c r="S51" s="154">
        <f t="shared" si="8"/>
        <v>105.07203648392587</v>
      </c>
    </row>
    <row r="52" spans="1:19">
      <c r="A52" s="56" t="s">
        <v>69</v>
      </c>
      <c r="B52" t="s">
        <v>70</v>
      </c>
      <c r="C52" s="621">
        <v>265806</v>
      </c>
      <c r="D52" s="621">
        <v>269237</v>
      </c>
      <c r="E52" s="621">
        <v>273359</v>
      </c>
      <c r="F52" s="621">
        <v>275185</v>
      </c>
      <c r="G52" s="621">
        <v>276905</v>
      </c>
      <c r="H52" s="621">
        <v>277949</v>
      </c>
      <c r="I52" s="621">
        <v>282611</v>
      </c>
      <c r="J52" s="620">
        <v>290276</v>
      </c>
      <c r="K52" s="158">
        <f t="shared" si="9"/>
        <v>1.2660253120355913E-2</v>
      </c>
      <c r="L52">
        <v>100</v>
      </c>
      <c r="M52" s="154">
        <f t="shared" si="2"/>
        <v>101.29079102804302</v>
      </c>
      <c r="N52" s="154">
        <f t="shared" si="3"/>
        <v>102.84154609000549</v>
      </c>
      <c r="O52" s="154">
        <f t="shared" si="4"/>
        <v>103.52851327660022</v>
      </c>
      <c r="P52" s="154">
        <f t="shared" si="5"/>
        <v>104.17560175466318</v>
      </c>
      <c r="Q52" s="154">
        <f t="shared" si="6"/>
        <v>104.56836941227812</v>
      </c>
      <c r="R52" s="154">
        <f t="shared" si="7"/>
        <v>106.32228015921386</v>
      </c>
      <c r="S52" s="154">
        <f t="shared" si="8"/>
        <v>109.20596224313974</v>
      </c>
    </row>
    <row r="53" spans="1:19">
      <c r="A53" s="56" t="s">
        <v>1413</v>
      </c>
      <c r="B53" t="s">
        <v>1406</v>
      </c>
      <c r="C53" s="620">
        <v>1336401</v>
      </c>
      <c r="D53" s="620">
        <v>1350978</v>
      </c>
      <c r="E53" s="620">
        <v>1360360</v>
      </c>
      <c r="F53" s="620">
        <v>1356093</v>
      </c>
      <c r="G53" s="620">
        <v>1352666</v>
      </c>
      <c r="H53" s="620">
        <v>1348040</v>
      </c>
      <c r="I53" s="620">
        <v>1351700</v>
      </c>
      <c r="J53" s="620">
        <v>1370441</v>
      </c>
      <c r="K53" s="158">
        <f t="shared" si="9"/>
        <v>3.5996641528021202E-3</v>
      </c>
      <c r="L53">
        <v>100</v>
      </c>
      <c r="M53" s="154">
        <f t="shared" si="2"/>
        <v>101.09076542145658</v>
      </c>
      <c r="N53" s="154">
        <f t="shared" si="3"/>
        <v>101.79280021490555</v>
      </c>
      <c r="O53" s="154">
        <f t="shared" si="4"/>
        <v>101.47350982227638</v>
      </c>
      <c r="P53" s="154">
        <f t="shared" si="5"/>
        <v>101.21707481511912</v>
      </c>
      <c r="Q53" s="154">
        <f t="shared" si="6"/>
        <v>100.87092122798471</v>
      </c>
      <c r="R53" s="154">
        <f t="shared" si="7"/>
        <v>101.14479112182646</v>
      </c>
      <c r="S53" s="154">
        <f t="shared" si="8"/>
        <v>102.54713966840792</v>
      </c>
    </row>
    <row r="54" spans="1:19">
      <c r="A54" t="s">
        <v>436</v>
      </c>
      <c r="B54" t="s">
        <v>1525</v>
      </c>
      <c r="C54" s="620">
        <v>17128592</v>
      </c>
      <c r="D54" s="620">
        <v>17286104</v>
      </c>
      <c r="E54" s="620">
        <v>17403933</v>
      </c>
      <c r="F54" s="620">
        <v>17315012</v>
      </c>
      <c r="G54" s="620">
        <v>17255348</v>
      </c>
      <c r="H54" s="620">
        <v>17224261</v>
      </c>
      <c r="I54" s="620">
        <v>17328304</v>
      </c>
      <c r="J54" s="620">
        <v>17538673</v>
      </c>
      <c r="K54" s="158">
        <f t="shared" si="9"/>
        <v>3.3856060411756538E-3</v>
      </c>
      <c r="L54">
        <v>100</v>
      </c>
      <c r="M54" s="154">
        <f t="shared" ref="M54" si="10">(D54/$C54)*100</f>
        <v>100.91958521751235</v>
      </c>
      <c r="N54" s="154">
        <f t="shared" ref="N54" si="11">(E54/$C54)*100</f>
        <v>101.60749348224303</v>
      </c>
      <c r="O54" s="154">
        <f t="shared" ref="O54" si="12">(F54/$C54)*100</f>
        <v>101.08835565702073</v>
      </c>
      <c r="P54" s="154">
        <f t="shared" ref="P54" si="13">(G54/$C54)*100</f>
        <v>100.74002580013581</v>
      </c>
      <c r="Q54" s="154">
        <f t="shared" ref="Q54" si="14">(H54/$C54)*100</f>
        <v>100.55853394137708</v>
      </c>
      <c r="R54" s="154">
        <f t="shared" ref="R54" si="15">(I54/$C54)*100</f>
        <v>101.16595689826696</v>
      </c>
      <c r="S54" s="154">
        <f t="shared" ref="S54" si="16">(J54/$C54)*100</f>
        <v>102.39413140321165</v>
      </c>
    </row>
    <row r="56" spans="1:19">
      <c r="A56" s="156" t="s">
        <v>1655</v>
      </c>
    </row>
    <row r="58" spans="1:19" s="55" customFormat="1" ht="45">
      <c r="A58" s="55" t="s">
        <v>251</v>
      </c>
      <c r="B58" s="55" t="s">
        <v>252</v>
      </c>
      <c r="C58" s="14" t="s">
        <v>456</v>
      </c>
      <c r="D58" s="14" t="s">
        <v>277</v>
      </c>
      <c r="E58" s="14" t="s">
        <v>455</v>
      </c>
      <c r="F58" s="14" t="s">
        <v>457</v>
      </c>
      <c r="G58" s="16" t="s">
        <v>1181</v>
      </c>
      <c r="H58" s="14" t="s">
        <v>458</v>
      </c>
      <c r="J58" s="55" t="s">
        <v>820</v>
      </c>
      <c r="K58" s="55" t="s">
        <v>821</v>
      </c>
      <c r="L58" s="55" t="s">
        <v>822</v>
      </c>
      <c r="M58" s="14" t="s">
        <v>823</v>
      </c>
      <c r="N58" s="16" t="s">
        <v>1183</v>
      </c>
      <c r="O58" s="55" t="s">
        <v>458</v>
      </c>
    </row>
    <row r="59" spans="1:19">
      <c r="A59" t="s">
        <v>88</v>
      </c>
      <c r="B59" t="s">
        <v>89</v>
      </c>
      <c r="C59" s="623">
        <v>17386</v>
      </c>
      <c r="D59" s="623">
        <v>11683</v>
      </c>
      <c r="E59" s="623">
        <v>26719</v>
      </c>
      <c r="F59" s="623">
        <v>57781</v>
      </c>
      <c r="G59" s="623">
        <v>3449</v>
      </c>
      <c r="H59" s="16">
        <f>SUM(C59:G59)</f>
        <v>117018</v>
      </c>
      <c r="J59" s="148">
        <f t="shared" ref="J59:J88" si="17">C59/$H59</f>
        <v>0.14857543283939223</v>
      </c>
      <c r="K59" s="148">
        <f t="shared" ref="K59:K88" si="18">D59/$H59</f>
        <v>9.9839340956092232E-2</v>
      </c>
      <c r="L59" s="148">
        <f t="shared" ref="L59:L88" si="19">E59/$H59</f>
        <v>0.2283323933070126</v>
      </c>
      <c r="M59" s="148">
        <f t="shared" ref="M59:M88" si="20">F59/$H59</f>
        <v>0.49377873489548618</v>
      </c>
      <c r="N59" s="148">
        <f t="shared" ref="N59:N88" si="21">G59/$H59</f>
        <v>2.9474098002016783E-2</v>
      </c>
      <c r="O59" s="157">
        <f t="shared" ref="O59:O88" si="22">SUM(J59:N59)</f>
        <v>1</v>
      </c>
    </row>
    <row r="60" spans="1:19">
      <c r="A60" t="s">
        <v>5</v>
      </c>
      <c r="B60" t="s">
        <v>6</v>
      </c>
      <c r="C60" s="623">
        <v>47600</v>
      </c>
      <c r="D60" s="623">
        <v>31310</v>
      </c>
      <c r="E60" s="623">
        <v>65285</v>
      </c>
      <c r="F60" s="623">
        <v>223598</v>
      </c>
      <c r="G60" s="623">
        <v>11582</v>
      </c>
      <c r="H60" s="16">
        <f t="shared" ref="H60:H107" si="23">SUM(C60:G60)</f>
        <v>379375</v>
      </c>
      <c r="J60" s="148">
        <f t="shared" si="17"/>
        <v>0.12546952224052718</v>
      </c>
      <c r="K60" s="148">
        <f t="shared" si="18"/>
        <v>8.2530477759472823E-2</v>
      </c>
      <c r="L60" s="148">
        <f t="shared" si="19"/>
        <v>0.17208566721581547</v>
      </c>
      <c r="M60" s="148">
        <f t="shared" si="20"/>
        <v>0.58938517298187809</v>
      </c>
      <c r="N60" s="148">
        <f t="shared" si="21"/>
        <v>3.0529159802306426E-2</v>
      </c>
      <c r="O60" s="157">
        <f t="shared" si="22"/>
        <v>1</v>
      </c>
    </row>
    <row r="61" spans="1:19">
      <c r="A61" t="s">
        <v>87</v>
      </c>
      <c r="B61" s="72" t="s">
        <v>1076</v>
      </c>
      <c r="C61" s="623">
        <v>10565</v>
      </c>
      <c r="D61" s="623">
        <v>7659</v>
      </c>
      <c r="E61" s="623">
        <v>14762</v>
      </c>
      <c r="F61" s="623">
        <v>46354</v>
      </c>
      <c r="G61" s="623">
        <v>3326</v>
      </c>
      <c r="H61" s="16">
        <f t="shared" si="23"/>
        <v>82666</v>
      </c>
      <c r="J61" s="148">
        <f t="shared" si="17"/>
        <v>0.12780345002782281</v>
      </c>
      <c r="K61" s="148">
        <f t="shared" si="18"/>
        <v>9.2649940725328436E-2</v>
      </c>
      <c r="L61" s="148">
        <f t="shared" si="19"/>
        <v>0.17857402075823192</v>
      </c>
      <c r="M61" s="148">
        <f t="shared" si="20"/>
        <v>0.56073839305155682</v>
      </c>
      <c r="N61" s="148">
        <f t="shared" si="21"/>
        <v>4.0234195437059979E-2</v>
      </c>
      <c r="O61" s="157">
        <f t="shared" si="22"/>
        <v>1</v>
      </c>
    </row>
    <row r="62" spans="1:19">
      <c r="A62" t="s">
        <v>7</v>
      </c>
      <c r="B62" t="s">
        <v>8</v>
      </c>
      <c r="C62" s="623">
        <v>53241</v>
      </c>
      <c r="D62" s="623">
        <v>17043</v>
      </c>
      <c r="E62" s="623">
        <v>34265</v>
      </c>
      <c r="F62" s="623">
        <v>124244</v>
      </c>
      <c r="G62" s="623">
        <v>6784</v>
      </c>
      <c r="H62" s="16">
        <f t="shared" si="23"/>
        <v>235577</v>
      </c>
      <c r="J62" s="148">
        <f t="shared" si="17"/>
        <v>0.22600253844815071</v>
      </c>
      <c r="K62" s="148">
        <f t="shared" si="18"/>
        <v>7.2345772295258029E-2</v>
      </c>
      <c r="L62" s="148">
        <f t="shared" si="19"/>
        <v>0.14545138107710007</v>
      </c>
      <c r="M62" s="148">
        <f t="shared" si="20"/>
        <v>0.52740292982761472</v>
      </c>
      <c r="N62" s="148">
        <f t="shared" si="21"/>
        <v>2.8797378351876457E-2</v>
      </c>
      <c r="O62" s="157">
        <f t="shared" si="22"/>
        <v>1</v>
      </c>
    </row>
    <row r="63" spans="1:19">
      <c r="A63" t="s">
        <v>9</v>
      </c>
      <c r="B63" t="s">
        <v>10</v>
      </c>
      <c r="C63" s="623">
        <v>26447</v>
      </c>
      <c r="D63" s="623">
        <v>18808</v>
      </c>
      <c r="E63" s="623">
        <v>49744</v>
      </c>
      <c r="F63" s="623">
        <v>186114</v>
      </c>
      <c r="G63" s="623">
        <v>16516</v>
      </c>
      <c r="H63" s="16">
        <f t="shared" si="23"/>
        <v>297629</v>
      </c>
      <c r="J63" s="148">
        <f t="shared" si="17"/>
        <v>8.8858948556760256E-2</v>
      </c>
      <c r="K63" s="148">
        <f t="shared" si="18"/>
        <v>6.3192766833877076E-2</v>
      </c>
      <c r="L63" s="148">
        <f t="shared" si="19"/>
        <v>0.16713425103064553</v>
      </c>
      <c r="M63" s="148">
        <f t="shared" si="20"/>
        <v>0.62532212922799857</v>
      </c>
      <c r="N63" s="148">
        <f t="shared" si="21"/>
        <v>5.5491904350718511E-2</v>
      </c>
      <c r="O63" s="157">
        <f t="shared" si="22"/>
        <v>0.99999999999999989</v>
      </c>
    </row>
    <row r="64" spans="1:19">
      <c r="A64" t="s">
        <v>11</v>
      </c>
      <c r="B64" t="s">
        <v>12</v>
      </c>
      <c r="C64" s="623">
        <v>108682</v>
      </c>
      <c r="D64" s="623">
        <v>46737</v>
      </c>
      <c r="E64" s="623">
        <v>103450</v>
      </c>
      <c r="F64" s="623">
        <v>396578</v>
      </c>
      <c r="G64" s="623">
        <v>24233</v>
      </c>
      <c r="H64" s="16">
        <f t="shared" si="23"/>
        <v>679680</v>
      </c>
      <c r="J64" s="148">
        <f t="shared" si="17"/>
        <v>0.15990171845574389</v>
      </c>
      <c r="K64" s="148">
        <f t="shared" si="18"/>
        <v>6.8763241525423735E-2</v>
      </c>
      <c r="L64" s="148">
        <f t="shared" si="19"/>
        <v>0.15220397834274954</v>
      </c>
      <c r="M64" s="148">
        <f t="shared" si="20"/>
        <v>0.58347751883239174</v>
      </c>
      <c r="N64" s="148">
        <f t="shared" si="21"/>
        <v>3.5653542843691148E-2</v>
      </c>
      <c r="O64" s="157">
        <f t="shared" si="22"/>
        <v>1</v>
      </c>
    </row>
    <row r="65" spans="1:15">
      <c r="A65" t="s">
        <v>13</v>
      </c>
      <c r="B65" t="s">
        <v>54</v>
      </c>
      <c r="C65" s="623">
        <v>44276</v>
      </c>
      <c r="D65" s="623">
        <v>25304</v>
      </c>
      <c r="E65" s="623">
        <v>62446</v>
      </c>
      <c r="F65" s="623">
        <v>234736</v>
      </c>
      <c r="G65" s="623">
        <v>15914</v>
      </c>
      <c r="H65" s="16">
        <f t="shared" si="23"/>
        <v>382676</v>
      </c>
      <c r="J65" s="148">
        <f t="shared" si="17"/>
        <v>0.11570101077674064</v>
      </c>
      <c r="K65" s="148">
        <f t="shared" si="18"/>
        <v>6.6123822763904716E-2</v>
      </c>
      <c r="L65" s="148">
        <f t="shared" si="19"/>
        <v>0.16318243109053091</v>
      </c>
      <c r="M65" s="148">
        <f t="shared" si="20"/>
        <v>0.61340664164985526</v>
      </c>
      <c r="N65" s="148">
        <f t="shared" si="21"/>
        <v>4.1586093718968528E-2</v>
      </c>
      <c r="O65" s="157">
        <f t="shared" si="22"/>
        <v>1</v>
      </c>
    </row>
    <row r="66" spans="1:15">
      <c r="A66" t="s">
        <v>14</v>
      </c>
      <c r="B66" t="s">
        <v>15</v>
      </c>
      <c r="C66" s="623">
        <v>15308</v>
      </c>
      <c r="D66" s="623">
        <v>13741</v>
      </c>
      <c r="E66" s="623">
        <v>33090</v>
      </c>
      <c r="F66" s="623">
        <v>113348</v>
      </c>
      <c r="G66" s="623">
        <v>7589</v>
      </c>
      <c r="H66" s="16">
        <f t="shared" si="23"/>
        <v>183076</v>
      </c>
      <c r="J66" s="148">
        <f t="shared" si="17"/>
        <v>8.3615547641416682E-2</v>
      </c>
      <c r="K66" s="148">
        <f t="shared" si="18"/>
        <v>7.5056260787869519E-2</v>
      </c>
      <c r="L66" s="148">
        <f t="shared" si="19"/>
        <v>0.18074460879634688</v>
      </c>
      <c r="M66" s="148">
        <f t="shared" si="20"/>
        <v>0.6191308527606022</v>
      </c>
      <c r="N66" s="148">
        <f t="shared" si="21"/>
        <v>4.1452730013764774E-2</v>
      </c>
      <c r="O66" s="157">
        <f t="shared" si="22"/>
        <v>1</v>
      </c>
    </row>
    <row r="67" spans="1:15">
      <c r="A67" t="s">
        <v>16</v>
      </c>
      <c r="B67" t="s">
        <v>17</v>
      </c>
      <c r="C67" s="623">
        <v>52877</v>
      </c>
      <c r="D67" s="623">
        <v>27618</v>
      </c>
      <c r="E67" s="623">
        <v>54581</v>
      </c>
      <c r="F67" s="623">
        <v>200986</v>
      </c>
      <c r="G67" s="623">
        <v>12681</v>
      </c>
      <c r="H67" s="16">
        <f t="shared" si="23"/>
        <v>348743</v>
      </c>
      <c r="J67" s="148">
        <f t="shared" si="17"/>
        <v>0.15162168129539519</v>
      </c>
      <c r="K67" s="148">
        <f t="shared" si="18"/>
        <v>7.9192987386126748E-2</v>
      </c>
      <c r="L67" s="148">
        <f t="shared" si="19"/>
        <v>0.15650780087342256</v>
      </c>
      <c r="M67" s="148">
        <f t="shared" si="20"/>
        <v>0.57631551027547512</v>
      </c>
      <c r="N67" s="148">
        <f t="shared" si="21"/>
        <v>3.6362020169580463E-2</v>
      </c>
      <c r="O67" s="157">
        <f t="shared" si="22"/>
        <v>1.0000000000000002</v>
      </c>
    </row>
    <row r="68" spans="1:15">
      <c r="A68" t="s">
        <v>18</v>
      </c>
      <c r="B68" t="s">
        <v>19</v>
      </c>
      <c r="C68" s="623">
        <v>14706</v>
      </c>
      <c r="D68" s="623">
        <v>13507</v>
      </c>
      <c r="E68" s="623">
        <v>31682</v>
      </c>
      <c r="F68" s="623">
        <v>99162</v>
      </c>
      <c r="G68" s="623">
        <v>5971</v>
      </c>
      <c r="H68" s="16">
        <f t="shared" si="23"/>
        <v>165028</v>
      </c>
      <c r="J68" s="148">
        <f t="shared" si="17"/>
        <v>8.9112150665341644E-2</v>
      </c>
      <c r="K68" s="148">
        <f t="shared" si="18"/>
        <v>8.1846716920764964E-2</v>
      </c>
      <c r="L68" s="148">
        <f t="shared" si="19"/>
        <v>0.19197954286545313</v>
      </c>
      <c r="M68" s="148">
        <f t="shared" si="20"/>
        <v>0.60087985069200378</v>
      </c>
      <c r="N68" s="148">
        <f t="shared" si="21"/>
        <v>3.6181738856436482E-2</v>
      </c>
      <c r="O68" s="157">
        <f t="shared" si="22"/>
        <v>1</v>
      </c>
    </row>
    <row r="69" spans="1:15">
      <c r="A69" t="s">
        <v>20</v>
      </c>
      <c r="B69" t="s">
        <v>21</v>
      </c>
      <c r="C69" s="623">
        <v>37491</v>
      </c>
      <c r="D69" s="623">
        <v>19007</v>
      </c>
      <c r="E69" s="623">
        <v>37103</v>
      </c>
      <c r="F69" s="623">
        <v>132119</v>
      </c>
      <c r="G69" s="623">
        <v>9500</v>
      </c>
      <c r="H69" s="16">
        <f t="shared" si="23"/>
        <v>235220</v>
      </c>
      <c r="J69" s="148">
        <f t="shared" si="17"/>
        <v>0.15938695689142079</v>
      </c>
      <c r="K69" s="148">
        <f t="shared" si="18"/>
        <v>8.0805203639146325E-2</v>
      </c>
      <c r="L69" s="148">
        <f t="shared" si="19"/>
        <v>0.15773743729274722</v>
      </c>
      <c r="M69" s="148">
        <f t="shared" si="20"/>
        <v>0.56168268004421396</v>
      </c>
      <c r="N69" s="148">
        <f t="shared" si="21"/>
        <v>4.0387722132471729E-2</v>
      </c>
      <c r="O69" s="157">
        <f t="shared" si="22"/>
        <v>1</v>
      </c>
    </row>
    <row r="70" spans="1:15">
      <c r="A70" t="s">
        <v>22</v>
      </c>
      <c r="B70" t="s">
        <v>23</v>
      </c>
      <c r="C70" s="623">
        <v>43045</v>
      </c>
      <c r="D70" s="623">
        <v>18391</v>
      </c>
      <c r="E70" s="623">
        <v>35541</v>
      </c>
      <c r="F70" s="623">
        <v>113745</v>
      </c>
      <c r="G70" s="623">
        <v>7244</v>
      </c>
      <c r="H70" s="16">
        <f t="shared" si="23"/>
        <v>217966</v>
      </c>
      <c r="J70" s="148">
        <f t="shared" si="17"/>
        <v>0.19748492884211299</v>
      </c>
      <c r="K70" s="148">
        <f t="shared" si="18"/>
        <v>8.4375544809740965E-2</v>
      </c>
      <c r="L70" s="148">
        <f t="shared" si="19"/>
        <v>0.1630575410843893</v>
      </c>
      <c r="M70" s="148">
        <f t="shared" si="20"/>
        <v>0.52184744409678574</v>
      </c>
      <c r="N70" s="148">
        <f t="shared" si="21"/>
        <v>3.3234541166970999E-2</v>
      </c>
      <c r="O70" s="157">
        <f t="shared" si="22"/>
        <v>1</v>
      </c>
    </row>
    <row r="71" spans="1:15">
      <c r="A71" t="s">
        <v>24</v>
      </c>
      <c r="B71" t="s">
        <v>25</v>
      </c>
      <c r="C71" s="623">
        <v>25840</v>
      </c>
      <c r="D71" s="623">
        <v>12669</v>
      </c>
      <c r="E71" s="623">
        <v>37464</v>
      </c>
      <c r="F71" s="623">
        <v>125976</v>
      </c>
      <c r="G71" s="623">
        <v>6994</v>
      </c>
      <c r="H71" s="16">
        <f t="shared" si="23"/>
        <v>208943</v>
      </c>
      <c r="J71" s="148">
        <f t="shared" si="17"/>
        <v>0.12367009184322997</v>
      </c>
      <c r="K71" s="148">
        <f t="shared" si="18"/>
        <v>6.0633761360753886E-2</v>
      </c>
      <c r="L71" s="148">
        <f t="shared" si="19"/>
        <v>0.17930248919561795</v>
      </c>
      <c r="M71" s="148">
        <f t="shared" si="20"/>
        <v>0.60292041370134442</v>
      </c>
      <c r="N71" s="148">
        <f t="shared" si="21"/>
        <v>3.347324389905381E-2</v>
      </c>
      <c r="O71" s="157">
        <f t="shared" si="22"/>
        <v>1</v>
      </c>
    </row>
    <row r="72" spans="1:15">
      <c r="A72" t="s">
        <v>51</v>
      </c>
      <c r="B72" t="s">
        <v>55</v>
      </c>
      <c r="C72" s="623">
        <v>13003</v>
      </c>
      <c r="D72" s="623">
        <v>11054</v>
      </c>
      <c r="E72" s="623">
        <v>26812</v>
      </c>
      <c r="F72" s="623">
        <v>71527</v>
      </c>
      <c r="G72" s="623">
        <v>4906</v>
      </c>
      <c r="H72" s="16">
        <f t="shared" si="23"/>
        <v>127302</v>
      </c>
      <c r="J72" s="148">
        <f t="shared" si="17"/>
        <v>0.10214293569621843</v>
      </c>
      <c r="K72" s="148">
        <f t="shared" si="18"/>
        <v>8.683288557917393E-2</v>
      </c>
      <c r="L72" s="148">
        <f t="shared" si="19"/>
        <v>0.21061727231308228</v>
      </c>
      <c r="M72" s="148">
        <f t="shared" si="20"/>
        <v>0.56186862735856469</v>
      </c>
      <c r="N72" s="148">
        <f t="shared" si="21"/>
        <v>3.8538279052960679E-2</v>
      </c>
      <c r="O72" s="157">
        <f t="shared" si="22"/>
        <v>1</v>
      </c>
    </row>
    <row r="73" spans="1:15">
      <c r="A73" t="s">
        <v>26</v>
      </c>
      <c r="B73" t="s">
        <v>27</v>
      </c>
      <c r="C73" s="623">
        <v>79417</v>
      </c>
      <c r="D73" s="623">
        <v>34350</v>
      </c>
      <c r="E73" s="623">
        <v>65565</v>
      </c>
      <c r="F73" s="623">
        <v>266563</v>
      </c>
      <c r="G73" s="623">
        <v>13144</v>
      </c>
      <c r="H73" s="16">
        <f t="shared" si="23"/>
        <v>459039</v>
      </c>
      <c r="J73" s="148">
        <f t="shared" si="17"/>
        <v>0.17300708654384486</v>
      </c>
      <c r="K73" s="148">
        <f t="shared" si="18"/>
        <v>7.4830243181951861E-2</v>
      </c>
      <c r="L73" s="148">
        <f t="shared" si="19"/>
        <v>0.14283100128747231</v>
      </c>
      <c r="M73" s="148">
        <f t="shared" si="20"/>
        <v>0.58069793634092093</v>
      </c>
      <c r="N73" s="148">
        <f t="shared" si="21"/>
        <v>2.863373264581005E-2</v>
      </c>
      <c r="O73" s="157">
        <f t="shared" si="22"/>
        <v>1</v>
      </c>
    </row>
    <row r="74" spans="1:15">
      <c r="A74" t="s">
        <v>28</v>
      </c>
      <c r="B74" t="s">
        <v>29</v>
      </c>
      <c r="C74" s="623">
        <v>134671</v>
      </c>
      <c r="D74" s="623">
        <v>55879</v>
      </c>
      <c r="E74" s="623">
        <v>126159</v>
      </c>
      <c r="F74" s="623">
        <v>450507</v>
      </c>
      <c r="G74" s="623">
        <v>26017</v>
      </c>
      <c r="H74" s="16">
        <f t="shared" si="23"/>
        <v>793233</v>
      </c>
      <c r="J74" s="148">
        <f t="shared" si="17"/>
        <v>0.16977483286751813</v>
      </c>
      <c r="K74" s="148">
        <f t="shared" si="18"/>
        <v>7.0444623458681119E-2</v>
      </c>
      <c r="L74" s="148">
        <f t="shared" si="19"/>
        <v>0.15904406397615833</v>
      </c>
      <c r="M74" s="148">
        <f t="shared" si="20"/>
        <v>0.56793779381341924</v>
      </c>
      <c r="N74" s="148">
        <f t="shared" si="21"/>
        <v>3.2798685884223175E-2</v>
      </c>
      <c r="O74" s="157">
        <f t="shared" si="22"/>
        <v>1</v>
      </c>
    </row>
    <row r="75" spans="1:15">
      <c r="A75" t="s">
        <v>30</v>
      </c>
      <c r="B75" t="s">
        <v>59</v>
      </c>
      <c r="C75" s="623">
        <v>65805</v>
      </c>
      <c r="D75" s="623">
        <v>36542</v>
      </c>
      <c r="E75" s="623">
        <v>83407</v>
      </c>
      <c r="F75" s="623">
        <v>320702</v>
      </c>
      <c r="G75" s="623">
        <v>18908</v>
      </c>
      <c r="H75" s="16">
        <f t="shared" si="23"/>
        <v>525364</v>
      </c>
      <c r="J75" s="148">
        <f t="shared" si="17"/>
        <v>0.12525601297386194</v>
      </c>
      <c r="K75" s="148">
        <f t="shared" si="18"/>
        <v>6.9555584318681904E-2</v>
      </c>
      <c r="L75" s="148">
        <f t="shared" si="19"/>
        <v>0.15876040231154018</v>
      </c>
      <c r="M75" s="148">
        <f t="shared" si="20"/>
        <v>0.6104377155648274</v>
      </c>
      <c r="N75" s="148">
        <f t="shared" si="21"/>
        <v>3.5990284831088543E-2</v>
      </c>
      <c r="O75" s="157">
        <f t="shared" si="22"/>
        <v>1</v>
      </c>
    </row>
    <row r="76" spans="1:15">
      <c r="A76" t="s">
        <v>31</v>
      </c>
      <c r="B76" t="s">
        <v>32</v>
      </c>
      <c r="C76" s="623">
        <v>73058</v>
      </c>
      <c r="D76" s="623">
        <v>32077</v>
      </c>
      <c r="E76" s="623">
        <v>61266</v>
      </c>
      <c r="F76" s="623">
        <v>256722</v>
      </c>
      <c r="G76" s="623">
        <v>12879</v>
      </c>
      <c r="H76" s="16">
        <f t="shared" si="23"/>
        <v>436002</v>
      </c>
      <c r="J76" s="148">
        <f t="shared" si="17"/>
        <v>0.16756345154380026</v>
      </c>
      <c r="K76" s="148">
        <f t="shared" si="18"/>
        <v>7.3570763436864972E-2</v>
      </c>
      <c r="L76" s="148">
        <f t="shared" si="19"/>
        <v>0.14051770404722913</v>
      </c>
      <c r="M76" s="148">
        <f t="shared" si="20"/>
        <v>0.58880922564575389</v>
      </c>
      <c r="N76" s="148">
        <f t="shared" si="21"/>
        <v>2.9538855326351712E-2</v>
      </c>
      <c r="O76" s="157">
        <f t="shared" si="22"/>
        <v>0.99999999999999989</v>
      </c>
    </row>
    <row r="77" spans="1:15">
      <c r="A77" t="s">
        <v>33</v>
      </c>
      <c r="B77" t="s">
        <v>34</v>
      </c>
      <c r="C77" s="623">
        <v>41708</v>
      </c>
      <c r="D77" s="623">
        <v>24732</v>
      </c>
      <c r="E77" s="623">
        <v>71161</v>
      </c>
      <c r="F77" s="623">
        <v>237776</v>
      </c>
      <c r="G77" s="623">
        <v>20148</v>
      </c>
      <c r="H77" s="16">
        <f t="shared" si="23"/>
        <v>395525</v>
      </c>
      <c r="J77" s="148">
        <f t="shared" si="17"/>
        <v>0.10544971872827255</v>
      </c>
      <c r="K77" s="148">
        <f t="shared" si="18"/>
        <v>6.2529549333164777E-2</v>
      </c>
      <c r="L77" s="148">
        <f t="shared" si="19"/>
        <v>0.17991530244611592</v>
      </c>
      <c r="M77" s="148">
        <f t="shared" si="20"/>
        <v>0.60116553947285256</v>
      </c>
      <c r="N77" s="148">
        <f t="shared" si="21"/>
        <v>5.093989001959421E-2</v>
      </c>
      <c r="O77" s="157">
        <f t="shared" si="22"/>
        <v>1</v>
      </c>
    </row>
    <row r="78" spans="1:15">
      <c r="A78" t="s">
        <v>35</v>
      </c>
      <c r="B78" t="s">
        <v>61</v>
      </c>
      <c r="C78" s="623">
        <v>44020</v>
      </c>
      <c r="D78" s="623">
        <v>29888</v>
      </c>
      <c r="E78" s="623">
        <v>62909</v>
      </c>
      <c r="F78" s="623">
        <v>217838</v>
      </c>
      <c r="G78" s="623">
        <v>11453</v>
      </c>
      <c r="H78" s="16">
        <f t="shared" si="23"/>
        <v>366108</v>
      </c>
      <c r="J78" s="148">
        <f t="shared" si="17"/>
        <v>0.12023774405366722</v>
      </c>
      <c r="K78" s="148">
        <f t="shared" si="18"/>
        <v>8.1637112546024668E-2</v>
      </c>
      <c r="L78" s="148">
        <f t="shared" si="19"/>
        <v>0.17183180919291574</v>
      </c>
      <c r="M78" s="148">
        <f t="shared" si="20"/>
        <v>0.59501021556480604</v>
      </c>
      <c r="N78" s="148">
        <f t="shared" si="21"/>
        <v>3.1283118642586344E-2</v>
      </c>
      <c r="O78" s="157">
        <f t="shared" si="22"/>
        <v>1</v>
      </c>
    </row>
    <row r="79" spans="1:15">
      <c r="A79" t="s">
        <v>36</v>
      </c>
      <c r="B79" t="s">
        <v>37</v>
      </c>
      <c r="C79" s="623">
        <v>28054</v>
      </c>
      <c r="D79" s="623">
        <v>21663</v>
      </c>
      <c r="E79" s="623">
        <v>54715</v>
      </c>
      <c r="F79" s="623">
        <v>171347</v>
      </c>
      <c r="G79" s="623">
        <v>9469</v>
      </c>
      <c r="H79" s="16">
        <f t="shared" si="23"/>
        <v>285248</v>
      </c>
      <c r="J79" s="148">
        <f t="shared" si="17"/>
        <v>9.8349506394435723E-2</v>
      </c>
      <c r="K79" s="148">
        <f t="shared" si="18"/>
        <v>7.5944441328247694E-2</v>
      </c>
      <c r="L79" s="148">
        <f t="shared" si="19"/>
        <v>0.19181554296612072</v>
      </c>
      <c r="M79" s="148">
        <f t="shared" si="20"/>
        <v>0.60069483396903744</v>
      </c>
      <c r="N79" s="148">
        <f t="shared" si="21"/>
        <v>3.31956753421584E-2</v>
      </c>
      <c r="O79" s="157">
        <f t="shared" si="22"/>
        <v>1</v>
      </c>
    </row>
    <row r="80" spans="1:15">
      <c r="A80" t="s">
        <v>38</v>
      </c>
      <c r="B80" t="s">
        <v>39</v>
      </c>
      <c r="C80" s="623">
        <v>40063</v>
      </c>
      <c r="D80" s="623">
        <v>23826</v>
      </c>
      <c r="E80" s="623">
        <v>48625</v>
      </c>
      <c r="F80" s="623">
        <v>187901</v>
      </c>
      <c r="G80" s="623">
        <v>11905</v>
      </c>
      <c r="H80" s="16">
        <f t="shared" si="23"/>
        <v>312320</v>
      </c>
      <c r="J80" s="148">
        <f t="shared" si="17"/>
        <v>0.12827548668032787</v>
      </c>
      <c r="K80" s="148">
        <f t="shared" si="18"/>
        <v>7.6287141393442628E-2</v>
      </c>
      <c r="L80" s="148">
        <f t="shared" si="19"/>
        <v>0.15568967725409835</v>
      </c>
      <c r="M80" s="148">
        <f t="shared" si="20"/>
        <v>0.6016297387295082</v>
      </c>
      <c r="N80" s="148">
        <f t="shared" si="21"/>
        <v>3.8117955942622954E-2</v>
      </c>
      <c r="O80" s="157">
        <f t="shared" si="22"/>
        <v>1</v>
      </c>
    </row>
    <row r="81" spans="1:15">
      <c r="A81" t="s">
        <v>40</v>
      </c>
      <c r="B81" t="s">
        <v>41</v>
      </c>
      <c r="C81" s="623">
        <v>43195</v>
      </c>
      <c r="D81" s="623">
        <v>17151</v>
      </c>
      <c r="E81" s="623">
        <v>45776</v>
      </c>
      <c r="F81" s="623">
        <v>141147</v>
      </c>
      <c r="G81" s="623">
        <v>7312</v>
      </c>
      <c r="H81" s="16">
        <f t="shared" si="23"/>
        <v>254581</v>
      </c>
      <c r="J81" s="148">
        <f t="shared" si="17"/>
        <v>0.16967094952097761</v>
      </c>
      <c r="K81" s="148">
        <f t="shared" si="18"/>
        <v>6.7369520899045882E-2</v>
      </c>
      <c r="L81" s="148">
        <f t="shared" si="19"/>
        <v>0.17980917664711821</v>
      </c>
      <c r="M81" s="148">
        <f t="shared" si="20"/>
        <v>0.5544286494278835</v>
      </c>
      <c r="N81" s="148">
        <f t="shared" si="21"/>
        <v>2.8721703504974841E-2</v>
      </c>
      <c r="O81" s="157">
        <f t="shared" si="22"/>
        <v>1</v>
      </c>
    </row>
    <row r="82" spans="1:15">
      <c r="A82" t="s">
        <v>42</v>
      </c>
      <c r="B82" t="s">
        <v>43</v>
      </c>
      <c r="C82" s="623">
        <v>47646</v>
      </c>
      <c r="D82" s="623">
        <v>14417</v>
      </c>
      <c r="E82" s="623">
        <v>30046</v>
      </c>
      <c r="F82" s="623">
        <v>111871</v>
      </c>
      <c r="G82" s="623">
        <v>6435</v>
      </c>
      <c r="H82" s="16">
        <f t="shared" si="23"/>
        <v>210415</v>
      </c>
      <c r="J82" s="148">
        <f t="shared" si="17"/>
        <v>0.22643822921369675</v>
      </c>
      <c r="K82" s="148">
        <f t="shared" si="18"/>
        <v>6.8516978352303776E-2</v>
      </c>
      <c r="L82" s="148">
        <f t="shared" si="19"/>
        <v>0.14279400232873132</v>
      </c>
      <c r="M82" s="148">
        <f t="shared" si="20"/>
        <v>0.53166836965045272</v>
      </c>
      <c r="N82" s="148">
        <f t="shared" si="21"/>
        <v>3.0582420454815483E-2</v>
      </c>
      <c r="O82" s="157">
        <f t="shared" si="22"/>
        <v>1</v>
      </c>
    </row>
    <row r="83" spans="1:15">
      <c r="A83" t="s">
        <v>44</v>
      </c>
      <c r="B83" t="s">
        <v>45</v>
      </c>
      <c r="C83" s="623">
        <v>31392</v>
      </c>
      <c r="D83" s="623">
        <v>17233</v>
      </c>
      <c r="E83" s="623">
        <v>34386</v>
      </c>
      <c r="F83" s="623">
        <v>124720</v>
      </c>
      <c r="G83" s="623">
        <v>9130</v>
      </c>
      <c r="H83" s="16">
        <f t="shared" si="23"/>
        <v>216861</v>
      </c>
      <c r="J83" s="148">
        <f t="shared" si="17"/>
        <v>0.14475631856350382</v>
      </c>
      <c r="K83" s="148">
        <f t="shared" si="18"/>
        <v>7.9465648502958119E-2</v>
      </c>
      <c r="L83" s="148">
        <f t="shared" si="19"/>
        <v>0.15856239711151382</v>
      </c>
      <c r="M83" s="148">
        <f t="shared" si="20"/>
        <v>0.57511493537334979</v>
      </c>
      <c r="N83" s="148">
        <f t="shared" si="21"/>
        <v>4.2100700448674498E-2</v>
      </c>
      <c r="O83" s="157">
        <f t="shared" si="22"/>
        <v>1</v>
      </c>
    </row>
    <row r="84" spans="1:15">
      <c r="A84" t="s">
        <v>46</v>
      </c>
      <c r="B84" t="s">
        <v>47</v>
      </c>
      <c r="C84" s="623">
        <v>27635</v>
      </c>
      <c r="D84" s="623">
        <v>14810</v>
      </c>
      <c r="E84" s="623">
        <v>30085</v>
      </c>
      <c r="F84" s="623">
        <v>96685</v>
      </c>
      <c r="G84" s="623">
        <v>6714</v>
      </c>
      <c r="H84" s="16">
        <f t="shared" si="23"/>
        <v>175929</v>
      </c>
      <c r="J84" s="148">
        <f t="shared" si="17"/>
        <v>0.1570804131212023</v>
      </c>
      <c r="K84" s="148">
        <f t="shared" si="18"/>
        <v>8.4181686930523109E-2</v>
      </c>
      <c r="L84" s="148">
        <f t="shared" si="19"/>
        <v>0.17100648557088372</v>
      </c>
      <c r="M84" s="148">
        <f t="shared" si="20"/>
        <v>0.54956829175405986</v>
      </c>
      <c r="N84" s="148">
        <f t="shared" si="21"/>
        <v>3.8163122623331006E-2</v>
      </c>
      <c r="O84" s="157">
        <f t="shared" si="22"/>
        <v>1</v>
      </c>
    </row>
    <row r="85" spans="1:15">
      <c r="A85" t="s">
        <v>56</v>
      </c>
      <c r="B85" t="s">
        <v>63</v>
      </c>
      <c r="C85" s="623">
        <v>13948</v>
      </c>
      <c r="D85" s="623">
        <v>10447</v>
      </c>
      <c r="E85" s="623">
        <v>26238</v>
      </c>
      <c r="F85" s="623">
        <v>72545</v>
      </c>
      <c r="G85" s="623">
        <v>4423</v>
      </c>
      <c r="H85" s="16">
        <f t="shared" si="23"/>
        <v>127601</v>
      </c>
      <c r="J85" s="148">
        <f t="shared" si="17"/>
        <v>0.1093094881701554</v>
      </c>
      <c r="K85" s="148">
        <f t="shared" si="18"/>
        <v>8.1872399119129163E-2</v>
      </c>
      <c r="L85" s="148">
        <f t="shared" si="19"/>
        <v>0.20562534776373226</v>
      </c>
      <c r="M85" s="148">
        <f t="shared" si="20"/>
        <v>0.56853002719414425</v>
      </c>
      <c r="N85" s="148">
        <f t="shared" si="21"/>
        <v>3.4662737752838929E-2</v>
      </c>
      <c r="O85" s="157">
        <f t="shared" si="22"/>
        <v>1</v>
      </c>
    </row>
    <row r="86" spans="1:15">
      <c r="A86" t="s">
        <v>57</v>
      </c>
      <c r="B86" t="s">
        <v>64</v>
      </c>
      <c r="C86" s="623">
        <v>20313</v>
      </c>
      <c r="D86" s="623">
        <v>10285</v>
      </c>
      <c r="E86" s="623">
        <v>20272</v>
      </c>
      <c r="F86" s="623">
        <v>70412</v>
      </c>
      <c r="G86" s="623">
        <v>4478</v>
      </c>
      <c r="H86" s="16">
        <f t="shared" si="23"/>
        <v>125760</v>
      </c>
      <c r="J86" s="148">
        <f t="shared" si="17"/>
        <v>0.1615219465648855</v>
      </c>
      <c r="K86" s="148">
        <f t="shared" si="18"/>
        <v>8.1782760814249358E-2</v>
      </c>
      <c r="L86" s="148">
        <f t="shared" si="19"/>
        <v>0.16119592875318067</v>
      </c>
      <c r="M86" s="148">
        <f t="shared" si="20"/>
        <v>0.55989185750636128</v>
      </c>
      <c r="N86" s="148">
        <f t="shared" si="21"/>
        <v>3.5607506361323156E-2</v>
      </c>
      <c r="O86" s="157">
        <f t="shared" si="22"/>
        <v>0.99999999999999989</v>
      </c>
    </row>
    <row r="87" spans="1:15">
      <c r="A87" t="s">
        <v>48</v>
      </c>
      <c r="B87" t="s">
        <v>49</v>
      </c>
      <c r="C87" s="623">
        <v>13457</v>
      </c>
      <c r="D87" s="623">
        <v>12579</v>
      </c>
      <c r="E87" s="623">
        <v>29449</v>
      </c>
      <c r="F87" s="623">
        <v>104447</v>
      </c>
      <c r="G87" s="623">
        <v>7275</v>
      </c>
      <c r="H87" s="16">
        <f t="shared" si="23"/>
        <v>167207</v>
      </c>
      <c r="J87" s="148">
        <f t="shared" si="17"/>
        <v>8.0481080337545682E-2</v>
      </c>
      <c r="K87" s="148">
        <f t="shared" si="18"/>
        <v>7.5230104002822845E-2</v>
      </c>
      <c r="L87" s="148">
        <f t="shared" si="19"/>
        <v>0.1761230092041601</v>
      </c>
      <c r="M87" s="148">
        <f t="shared" si="20"/>
        <v>0.62465686245193086</v>
      </c>
      <c r="N87" s="148">
        <f t="shared" si="21"/>
        <v>4.3508944003540523E-2</v>
      </c>
      <c r="O87" s="157">
        <f t="shared" si="22"/>
        <v>1</v>
      </c>
    </row>
    <row r="88" spans="1:15">
      <c r="A88" t="s">
        <v>58</v>
      </c>
      <c r="B88" t="s">
        <v>65</v>
      </c>
      <c r="C88" s="623">
        <v>16398</v>
      </c>
      <c r="D88" s="623">
        <v>10991</v>
      </c>
      <c r="E88" s="623">
        <v>29766</v>
      </c>
      <c r="F88" s="623">
        <v>63944</v>
      </c>
      <c r="G88" s="623">
        <v>3542</v>
      </c>
      <c r="H88" s="16">
        <f t="shared" si="23"/>
        <v>124641</v>
      </c>
      <c r="J88" s="148">
        <f t="shared" si="17"/>
        <v>0.13156184562062243</v>
      </c>
      <c r="K88" s="148">
        <f t="shared" si="18"/>
        <v>8.8181256568865787E-2</v>
      </c>
      <c r="L88" s="148">
        <f t="shared" si="19"/>
        <v>0.2388138734445327</v>
      </c>
      <c r="M88" s="148">
        <f t="shared" si="20"/>
        <v>0.51302540897457494</v>
      </c>
      <c r="N88" s="148">
        <f t="shared" si="21"/>
        <v>2.8417615391404114E-2</v>
      </c>
      <c r="O88" s="157">
        <f t="shared" si="22"/>
        <v>0.99999999999999989</v>
      </c>
    </row>
    <row r="89" spans="1:15">
      <c r="A89" t="s">
        <v>254</v>
      </c>
      <c r="B89" t="s">
        <v>234</v>
      </c>
      <c r="C89" s="623">
        <v>28560</v>
      </c>
      <c r="D89" s="623">
        <v>22638</v>
      </c>
      <c r="E89" s="623">
        <v>56634</v>
      </c>
      <c r="F89" s="623">
        <v>178105</v>
      </c>
      <c r="G89" s="623">
        <v>9669</v>
      </c>
      <c r="H89" s="16">
        <f t="shared" si="23"/>
        <v>295606</v>
      </c>
      <c r="J89" s="148">
        <f t="shared" ref="J89:J107" si="24">C89/$H89</f>
        <v>9.6615089003606158E-2</v>
      </c>
      <c r="K89" s="148">
        <f t="shared" ref="K89:K107" si="25">D89/$H89</f>
        <v>7.6581666136681936E-2</v>
      </c>
      <c r="L89" s="148">
        <f t="shared" ref="L89:L107" si="26">E89/$H89</f>
        <v>0.19158609771114254</v>
      </c>
      <c r="M89" s="148">
        <f t="shared" ref="M89:M107" si="27">F89/$H89</f>
        <v>0.60250806817182334</v>
      </c>
      <c r="N89" s="148">
        <f t="shared" ref="N89:N107" si="28">G89/$H89</f>
        <v>3.2709078976746075E-2</v>
      </c>
      <c r="O89" s="157">
        <f t="shared" ref="O89:O107" si="29">SUM(J89:N89)</f>
        <v>1</v>
      </c>
    </row>
    <row r="90" spans="1:15">
      <c r="A90" t="s">
        <v>255</v>
      </c>
      <c r="B90" t="s">
        <v>235</v>
      </c>
      <c r="C90" s="623">
        <v>74860</v>
      </c>
      <c r="D90" s="623">
        <v>41829</v>
      </c>
      <c r="E90" s="623">
        <v>96687</v>
      </c>
      <c r="F90" s="623">
        <v>357733</v>
      </c>
      <c r="G90" s="623">
        <v>19999</v>
      </c>
      <c r="H90" s="16">
        <f t="shared" si="23"/>
        <v>591108</v>
      </c>
      <c r="J90" s="148">
        <f t="shared" si="24"/>
        <v>0.12664352368771867</v>
      </c>
      <c r="K90" s="148">
        <f t="shared" si="25"/>
        <v>7.0763718305284315E-2</v>
      </c>
      <c r="L90" s="148">
        <f t="shared" si="26"/>
        <v>0.16356909397267505</v>
      </c>
      <c r="M90" s="148">
        <f t="shared" si="27"/>
        <v>0.60519059122867569</v>
      </c>
      <c r="N90" s="148">
        <f t="shared" si="28"/>
        <v>3.3833072805646347E-2</v>
      </c>
      <c r="O90" s="157">
        <f t="shared" si="29"/>
        <v>1</v>
      </c>
    </row>
    <row r="91" spans="1:15">
      <c r="A91" t="s">
        <v>256</v>
      </c>
      <c r="B91" t="s">
        <v>236</v>
      </c>
      <c r="C91" s="623">
        <v>74331</v>
      </c>
      <c r="D91" s="623">
        <v>32470</v>
      </c>
      <c r="E91" s="623">
        <v>62633</v>
      </c>
      <c r="F91" s="623">
        <v>259850</v>
      </c>
      <c r="G91" s="623">
        <v>12869</v>
      </c>
      <c r="H91" s="16">
        <f t="shared" si="23"/>
        <v>442153</v>
      </c>
      <c r="J91" s="148">
        <f t="shared" si="24"/>
        <v>0.16811149081878898</v>
      </c>
      <c r="K91" s="148">
        <f t="shared" si="25"/>
        <v>7.3436118266753822E-2</v>
      </c>
      <c r="L91" s="148">
        <f t="shared" si="26"/>
        <v>0.14165458562986116</v>
      </c>
      <c r="M91" s="148">
        <f t="shared" si="27"/>
        <v>0.58769249558410774</v>
      </c>
      <c r="N91" s="148">
        <f t="shared" si="28"/>
        <v>2.9105309700488292E-2</v>
      </c>
      <c r="O91" s="157">
        <f t="shared" si="29"/>
        <v>1</v>
      </c>
    </row>
    <row r="92" spans="1:15">
      <c r="A92" t="s">
        <v>71</v>
      </c>
      <c r="B92" t="s">
        <v>114</v>
      </c>
      <c r="C92" s="623">
        <v>53579</v>
      </c>
      <c r="D92" s="623">
        <v>35011</v>
      </c>
      <c r="E92" s="623">
        <v>77207</v>
      </c>
      <c r="F92" s="623">
        <v>245993</v>
      </c>
      <c r="G92" s="623">
        <v>12281</v>
      </c>
      <c r="H92" s="16">
        <f t="shared" si="23"/>
        <v>424071</v>
      </c>
      <c r="J92" s="148">
        <f t="shared" si="24"/>
        <v>0.12634440930881857</v>
      </c>
      <c r="K92" s="148">
        <f t="shared" si="25"/>
        <v>8.2559288421042709E-2</v>
      </c>
      <c r="L92" s="148">
        <f t="shared" si="26"/>
        <v>0.18206149441956654</v>
      </c>
      <c r="M92" s="148">
        <f t="shared" si="27"/>
        <v>0.58007503460505438</v>
      </c>
      <c r="N92" s="148">
        <f t="shared" si="28"/>
        <v>2.895977324551785E-2</v>
      </c>
      <c r="O92" s="157">
        <f t="shared" si="29"/>
        <v>1</v>
      </c>
    </row>
    <row r="93" spans="1:15">
      <c r="A93" t="s">
        <v>257</v>
      </c>
      <c r="B93" t="s">
        <v>237</v>
      </c>
      <c r="C93" s="623">
        <v>23109</v>
      </c>
      <c r="D93" s="623">
        <v>20732</v>
      </c>
      <c r="E93" s="623">
        <v>51162</v>
      </c>
      <c r="F93" s="623">
        <v>154441</v>
      </c>
      <c r="G93" s="623">
        <v>9505</v>
      </c>
      <c r="H93" s="16">
        <f t="shared" si="23"/>
        <v>258949</v>
      </c>
      <c r="J93" s="148">
        <f t="shared" si="24"/>
        <v>8.9241510876659116E-2</v>
      </c>
      <c r="K93" s="148">
        <f t="shared" si="25"/>
        <v>8.0062097169712951E-2</v>
      </c>
      <c r="L93" s="148">
        <f t="shared" si="26"/>
        <v>0.19757558438148051</v>
      </c>
      <c r="M93" s="148">
        <f t="shared" si="27"/>
        <v>0.59641473803721967</v>
      </c>
      <c r="N93" s="148">
        <f t="shared" si="28"/>
        <v>3.6706069534927728E-2</v>
      </c>
      <c r="O93" s="157">
        <f t="shared" si="29"/>
        <v>1</v>
      </c>
    </row>
    <row r="94" spans="1:15">
      <c r="A94" t="s">
        <v>258</v>
      </c>
      <c r="B94" t="s">
        <v>238</v>
      </c>
      <c r="C94" s="623">
        <v>54929</v>
      </c>
      <c r="D94" s="623">
        <v>23928</v>
      </c>
      <c r="E94" s="623">
        <v>49405</v>
      </c>
      <c r="F94" s="623">
        <v>163185</v>
      </c>
      <c r="G94" s="623">
        <v>11610</v>
      </c>
      <c r="H94" s="16">
        <f t="shared" si="23"/>
        <v>303057</v>
      </c>
      <c r="J94" s="148">
        <f t="shared" si="24"/>
        <v>0.18124973189861973</v>
      </c>
      <c r="K94" s="148">
        <f t="shared" si="25"/>
        <v>7.8955444025381363E-2</v>
      </c>
      <c r="L94" s="148">
        <f t="shared" si="26"/>
        <v>0.16302213774966426</v>
      </c>
      <c r="M94" s="148">
        <f t="shared" si="27"/>
        <v>0.53846306140429023</v>
      </c>
      <c r="N94" s="148">
        <f t="shared" si="28"/>
        <v>3.8309624922044365E-2</v>
      </c>
      <c r="O94" s="157">
        <f t="shared" si="29"/>
        <v>1</v>
      </c>
    </row>
    <row r="95" spans="1:15">
      <c r="A95" t="s">
        <v>259</v>
      </c>
      <c r="B95" t="s">
        <v>239</v>
      </c>
      <c r="C95" s="623">
        <v>78877</v>
      </c>
      <c r="D95" s="623">
        <v>27316</v>
      </c>
      <c r="E95" s="623">
        <v>53884</v>
      </c>
      <c r="F95" s="623">
        <v>171275</v>
      </c>
      <c r="G95" s="623">
        <v>8330</v>
      </c>
      <c r="H95" s="16">
        <f t="shared" si="23"/>
        <v>339682</v>
      </c>
      <c r="J95" s="148">
        <f t="shared" si="24"/>
        <v>0.23220835958337505</v>
      </c>
      <c r="K95" s="148">
        <f t="shared" si="25"/>
        <v>8.0416389446600053E-2</v>
      </c>
      <c r="L95" s="148">
        <f t="shared" si="26"/>
        <v>0.15863071931983444</v>
      </c>
      <c r="M95" s="148">
        <f t="shared" si="27"/>
        <v>0.50422159549225454</v>
      </c>
      <c r="N95" s="148">
        <f t="shared" si="28"/>
        <v>2.4522936157935951E-2</v>
      </c>
      <c r="O95" s="157">
        <f t="shared" si="29"/>
        <v>1</v>
      </c>
    </row>
    <row r="96" spans="1:15">
      <c r="A96" t="s">
        <v>260</v>
      </c>
      <c r="B96" t="s">
        <v>240</v>
      </c>
      <c r="C96" s="623">
        <v>69838</v>
      </c>
      <c r="D96" s="623">
        <v>33586</v>
      </c>
      <c r="E96" s="623">
        <v>66163</v>
      </c>
      <c r="F96" s="623">
        <v>238252</v>
      </c>
      <c r="G96" s="623">
        <v>14315</v>
      </c>
      <c r="H96" s="16">
        <f t="shared" si="23"/>
        <v>422154</v>
      </c>
      <c r="J96" s="148">
        <f t="shared" si="24"/>
        <v>0.16543251988610791</v>
      </c>
      <c r="K96" s="148">
        <f t="shared" si="25"/>
        <v>7.9558644475712662E-2</v>
      </c>
      <c r="L96" s="148">
        <f t="shared" si="26"/>
        <v>0.15672716591575586</v>
      </c>
      <c r="M96" s="148">
        <f t="shared" si="27"/>
        <v>0.56437224330457603</v>
      </c>
      <c r="N96" s="148">
        <f t="shared" si="28"/>
        <v>3.3909426417847513E-2</v>
      </c>
      <c r="O96" s="157">
        <f t="shared" si="29"/>
        <v>1</v>
      </c>
    </row>
    <row r="97" spans="1:15">
      <c r="A97" t="s">
        <v>261</v>
      </c>
      <c r="B97" t="s">
        <v>241</v>
      </c>
      <c r="C97" s="623">
        <v>124350</v>
      </c>
      <c r="D97" s="623">
        <v>47484</v>
      </c>
      <c r="E97" s="623">
        <v>118998</v>
      </c>
      <c r="F97" s="623">
        <v>379545</v>
      </c>
      <c r="G97" s="623">
        <v>29249</v>
      </c>
      <c r="H97" s="16">
        <f t="shared" si="23"/>
        <v>699626</v>
      </c>
      <c r="J97" s="148">
        <f t="shared" si="24"/>
        <v>0.17773781992092919</v>
      </c>
      <c r="K97" s="148">
        <f t="shared" si="25"/>
        <v>6.7870547978491361E-2</v>
      </c>
      <c r="L97" s="148">
        <f t="shared" si="26"/>
        <v>0.17008801845557484</v>
      </c>
      <c r="M97" s="148">
        <f t="shared" si="27"/>
        <v>0.54249699124961048</v>
      </c>
      <c r="N97" s="148">
        <f t="shared" si="28"/>
        <v>4.1806622395394108E-2</v>
      </c>
      <c r="O97" s="157">
        <f t="shared" si="29"/>
        <v>1</v>
      </c>
    </row>
    <row r="98" spans="1:15">
      <c r="A98" t="s">
        <v>262</v>
      </c>
      <c r="B98" t="s">
        <v>247</v>
      </c>
      <c r="C98" s="623">
        <v>63092</v>
      </c>
      <c r="D98" s="623">
        <v>27249</v>
      </c>
      <c r="E98" s="623">
        <v>56314</v>
      </c>
      <c r="F98" s="623">
        <v>157674</v>
      </c>
      <c r="G98" s="623">
        <v>9767</v>
      </c>
      <c r="H98" s="16">
        <f t="shared" si="23"/>
        <v>314096</v>
      </c>
      <c r="J98" s="148">
        <f t="shared" si="24"/>
        <v>0.20086852427283378</v>
      </c>
      <c r="K98" s="148">
        <f t="shared" si="25"/>
        <v>8.6753731343283583E-2</v>
      </c>
      <c r="L98" s="148">
        <f t="shared" si="26"/>
        <v>0.17928913453211756</v>
      </c>
      <c r="M98" s="148">
        <f t="shared" si="27"/>
        <v>0.50199302124191325</v>
      </c>
      <c r="N98" s="148">
        <f t="shared" si="28"/>
        <v>3.1095588609851767E-2</v>
      </c>
      <c r="O98" s="157">
        <f t="shared" si="29"/>
        <v>0.99999999999999989</v>
      </c>
    </row>
    <row r="99" spans="1:15">
      <c r="A99" t="s">
        <v>263</v>
      </c>
      <c r="B99" t="s">
        <v>242</v>
      </c>
      <c r="C99" s="623">
        <v>73415</v>
      </c>
      <c r="D99" s="623">
        <v>24553</v>
      </c>
      <c r="E99" s="623">
        <v>60607</v>
      </c>
      <c r="F99" s="623">
        <v>173563</v>
      </c>
      <c r="G99" s="623">
        <v>8628</v>
      </c>
      <c r="H99" s="16">
        <f t="shared" si="23"/>
        <v>340766</v>
      </c>
      <c r="J99" s="148">
        <f t="shared" si="24"/>
        <v>0.21544109447538781</v>
      </c>
      <c r="K99" s="148">
        <f t="shared" si="25"/>
        <v>7.2052376117335656E-2</v>
      </c>
      <c r="L99" s="148">
        <f t="shared" si="26"/>
        <v>0.17785518508301884</v>
      </c>
      <c r="M99" s="148">
        <f t="shared" si="27"/>
        <v>0.50933191691659374</v>
      </c>
      <c r="N99" s="148">
        <f t="shared" si="28"/>
        <v>2.5319427407663912E-2</v>
      </c>
      <c r="O99" s="157">
        <f t="shared" si="29"/>
        <v>0.99999999999999989</v>
      </c>
    </row>
    <row r="100" spans="1:15">
      <c r="A100" t="s">
        <v>264</v>
      </c>
      <c r="B100" t="s">
        <v>243</v>
      </c>
      <c r="C100" s="623">
        <v>104081</v>
      </c>
      <c r="D100" s="623">
        <v>46651</v>
      </c>
      <c r="E100" s="623">
        <v>105056</v>
      </c>
      <c r="F100" s="623">
        <v>402965</v>
      </c>
      <c r="G100" s="623">
        <v>24641</v>
      </c>
      <c r="H100" s="16">
        <f t="shared" si="23"/>
        <v>683394</v>
      </c>
      <c r="J100" s="148">
        <f t="shared" si="24"/>
        <v>0.15230013725610703</v>
      </c>
      <c r="K100" s="148">
        <f t="shared" si="25"/>
        <v>6.8263695613365052E-2</v>
      </c>
      <c r="L100" s="148">
        <f t="shared" si="26"/>
        <v>0.15372683986104649</v>
      </c>
      <c r="M100" s="148">
        <f t="shared" si="27"/>
        <v>0.58965252840967286</v>
      </c>
      <c r="N100" s="148">
        <f t="shared" si="28"/>
        <v>3.6056798859808545E-2</v>
      </c>
      <c r="O100" s="157">
        <f t="shared" si="29"/>
        <v>0.99999999999999989</v>
      </c>
    </row>
    <row r="101" spans="1:15">
      <c r="A101" t="s">
        <v>265</v>
      </c>
      <c r="B101" t="s">
        <v>244</v>
      </c>
      <c r="C101" s="623">
        <v>71239</v>
      </c>
      <c r="D101" s="623">
        <v>27902</v>
      </c>
      <c r="E101" s="623">
        <v>52113</v>
      </c>
      <c r="F101" s="623">
        <v>173126</v>
      </c>
      <c r="G101" s="623">
        <v>10469</v>
      </c>
      <c r="H101" s="16">
        <f t="shared" si="23"/>
        <v>334849</v>
      </c>
      <c r="J101" s="148">
        <f t="shared" si="24"/>
        <v>0.21274962744401207</v>
      </c>
      <c r="K101" s="148">
        <f t="shared" si="25"/>
        <v>8.3327111623448177E-2</v>
      </c>
      <c r="L101" s="148">
        <f t="shared" si="26"/>
        <v>0.15563134427756989</v>
      </c>
      <c r="M101" s="148">
        <f t="shared" si="27"/>
        <v>0.51702707787689373</v>
      </c>
      <c r="N101" s="148">
        <f t="shared" si="28"/>
        <v>3.1264838778076086E-2</v>
      </c>
      <c r="O101" s="157">
        <f t="shared" si="29"/>
        <v>0.99999999999999989</v>
      </c>
    </row>
    <row r="102" spans="1:15">
      <c r="A102" t="s">
        <v>266</v>
      </c>
      <c r="B102" t="s">
        <v>245</v>
      </c>
      <c r="C102" s="623">
        <v>19851</v>
      </c>
      <c r="D102" s="623">
        <v>19895</v>
      </c>
      <c r="E102" s="623">
        <v>45485</v>
      </c>
      <c r="F102" s="623">
        <v>111415</v>
      </c>
      <c r="G102" s="623">
        <v>5997</v>
      </c>
      <c r="H102" s="16">
        <f t="shared" si="23"/>
        <v>202643</v>
      </c>
      <c r="J102" s="148">
        <f t="shared" si="24"/>
        <v>9.7960452618644611E-2</v>
      </c>
      <c r="K102" s="148">
        <f t="shared" si="25"/>
        <v>9.8177583237516228E-2</v>
      </c>
      <c r="L102" s="148">
        <f t="shared" si="26"/>
        <v>0.22445877725852856</v>
      </c>
      <c r="M102" s="148">
        <f t="shared" si="27"/>
        <v>0.54980927049046846</v>
      </c>
      <c r="N102" s="148">
        <f t="shared" si="28"/>
        <v>2.959391639484216E-2</v>
      </c>
      <c r="O102" s="157">
        <f t="shared" si="29"/>
        <v>1</v>
      </c>
    </row>
    <row r="103" spans="1:15">
      <c r="A103" t="s">
        <v>267</v>
      </c>
      <c r="B103" t="s">
        <v>246</v>
      </c>
      <c r="C103" s="623">
        <v>18299</v>
      </c>
      <c r="D103" s="623">
        <v>11677</v>
      </c>
      <c r="E103" s="623">
        <v>31240</v>
      </c>
      <c r="F103" s="623">
        <v>65715</v>
      </c>
      <c r="G103" s="623">
        <v>3607</v>
      </c>
      <c r="H103" s="16">
        <f t="shared" si="23"/>
        <v>130538</v>
      </c>
      <c r="J103" s="148">
        <f t="shared" si="24"/>
        <v>0.14018140311633395</v>
      </c>
      <c r="K103" s="148">
        <f t="shared" si="25"/>
        <v>8.9452879621259709E-2</v>
      </c>
      <c r="L103" s="148">
        <f t="shared" si="26"/>
        <v>0.23931728692028376</v>
      </c>
      <c r="M103" s="148">
        <f t="shared" si="27"/>
        <v>0.50341662964041123</v>
      </c>
      <c r="N103" s="148">
        <f t="shared" si="28"/>
        <v>2.7631800701711378E-2</v>
      </c>
      <c r="O103" s="157">
        <f t="shared" si="29"/>
        <v>1</v>
      </c>
    </row>
    <row r="104" spans="1:15">
      <c r="A104" t="s">
        <v>73</v>
      </c>
      <c r="B104" t="s">
        <v>74</v>
      </c>
      <c r="C104" s="623">
        <v>129657</v>
      </c>
      <c r="D104" s="623">
        <v>71191</v>
      </c>
      <c r="E104" s="623">
        <v>155534</v>
      </c>
      <c r="F104" s="623">
        <v>438087</v>
      </c>
      <c r="G104" s="623">
        <v>23438</v>
      </c>
      <c r="H104" s="16">
        <f t="shared" si="23"/>
        <v>817907</v>
      </c>
      <c r="J104" s="148">
        <f t="shared" si="24"/>
        <v>0.15852291275169425</v>
      </c>
      <c r="K104" s="148">
        <f t="shared" si="25"/>
        <v>8.7040458144996918E-2</v>
      </c>
      <c r="L104" s="148">
        <f t="shared" si="26"/>
        <v>0.19016098407276133</v>
      </c>
      <c r="M104" s="148">
        <f t="shared" si="27"/>
        <v>0.5356195753306916</v>
      </c>
      <c r="N104" s="148">
        <f t="shared" si="28"/>
        <v>2.8656069699855853E-2</v>
      </c>
      <c r="O104" s="157">
        <f t="shared" si="29"/>
        <v>1</v>
      </c>
    </row>
    <row r="105" spans="1:15">
      <c r="A105" s="56" t="s">
        <v>69</v>
      </c>
      <c r="B105" t="s">
        <v>411</v>
      </c>
      <c r="C105" s="623">
        <v>31843</v>
      </c>
      <c r="D105" s="623">
        <v>20179</v>
      </c>
      <c r="E105" s="623">
        <v>46518</v>
      </c>
      <c r="F105" s="623">
        <v>181040</v>
      </c>
      <c r="G105" s="623">
        <v>10696</v>
      </c>
      <c r="H105" s="16">
        <f t="shared" si="23"/>
        <v>290276</v>
      </c>
      <c r="J105" s="148">
        <f t="shared" si="24"/>
        <v>0.10969904504678306</v>
      </c>
      <c r="K105" s="148">
        <f t="shared" si="25"/>
        <v>6.9516597996389637E-2</v>
      </c>
      <c r="L105" s="148">
        <f t="shared" si="26"/>
        <v>0.16025437859140956</v>
      </c>
      <c r="M105" s="148">
        <f t="shared" si="27"/>
        <v>0.62368228858052333</v>
      </c>
      <c r="N105" s="148">
        <f t="shared" si="28"/>
        <v>3.6847689784894375E-2</v>
      </c>
      <c r="O105" s="157">
        <f t="shared" si="29"/>
        <v>1</v>
      </c>
    </row>
    <row r="106" spans="1:15">
      <c r="A106" s="56" t="s">
        <v>1413</v>
      </c>
      <c r="B106" t="s">
        <v>1406</v>
      </c>
      <c r="C106" s="623">
        <v>242435</v>
      </c>
      <c r="D106" s="623">
        <v>117640</v>
      </c>
      <c r="E106" s="623">
        <v>257476</v>
      </c>
      <c r="F106" s="623">
        <v>712156</v>
      </c>
      <c r="G106" s="623">
        <v>40734</v>
      </c>
      <c r="H106" s="16">
        <f t="shared" si="23"/>
        <v>1370441</v>
      </c>
      <c r="J106" s="148">
        <f t="shared" si="24"/>
        <v>0.17690290935545566</v>
      </c>
      <c r="K106" s="148">
        <f t="shared" si="25"/>
        <v>8.5840981114838219E-2</v>
      </c>
      <c r="L106" s="148">
        <f t="shared" si="26"/>
        <v>0.18787820854746756</v>
      </c>
      <c r="M106" s="148">
        <f t="shared" si="27"/>
        <v>0.51965462212528668</v>
      </c>
      <c r="N106" s="148">
        <f t="shared" si="28"/>
        <v>2.9723278856951887E-2</v>
      </c>
      <c r="O106" s="157">
        <f t="shared" si="29"/>
        <v>1</v>
      </c>
    </row>
    <row r="107" spans="1:15">
      <c r="A107" t="s">
        <v>436</v>
      </c>
      <c r="B107" t="s">
        <v>1141</v>
      </c>
      <c r="C107" s="623">
        <v>2967125</v>
      </c>
      <c r="D107" s="623">
        <v>1330193</v>
      </c>
      <c r="E107" s="623">
        <v>2967265</v>
      </c>
      <c r="F107" s="623">
        <v>9746695</v>
      </c>
      <c r="G107" s="623">
        <v>527395</v>
      </c>
      <c r="H107" s="16">
        <f t="shared" si="23"/>
        <v>17538673</v>
      </c>
      <c r="J107" s="148">
        <f t="shared" si="24"/>
        <v>0.16917614006487264</v>
      </c>
      <c r="K107" s="148">
        <f t="shared" si="25"/>
        <v>7.5843423273813243E-2</v>
      </c>
      <c r="L107" s="148">
        <f t="shared" si="26"/>
        <v>0.16918412242476955</v>
      </c>
      <c r="M107" s="148">
        <f t="shared" si="27"/>
        <v>0.55572590925208543</v>
      </c>
      <c r="N107" s="148">
        <f t="shared" si="28"/>
        <v>3.00704049844592E-2</v>
      </c>
      <c r="O107" s="157">
        <f t="shared" si="29"/>
        <v>1</v>
      </c>
    </row>
    <row r="112" spans="1:15">
      <c r="A112" s="156" t="s">
        <v>1656</v>
      </c>
    </row>
    <row r="114" spans="1:16" ht="45">
      <c r="A114" s="55" t="s">
        <v>251</v>
      </c>
      <c r="B114" s="55" t="s">
        <v>252</v>
      </c>
      <c r="C114" s="16" t="s">
        <v>812</v>
      </c>
      <c r="D114" s="16" t="s">
        <v>277</v>
      </c>
      <c r="E114" s="16" t="s">
        <v>455</v>
      </c>
      <c r="F114" s="16" t="s">
        <v>730</v>
      </c>
      <c r="G114" s="16" t="s">
        <v>1181</v>
      </c>
      <c r="H114" s="16" t="s">
        <v>459</v>
      </c>
      <c r="I114"/>
      <c r="J114" s="55" t="s">
        <v>816</v>
      </c>
      <c r="K114" s="55" t="s">
        <v>817</v>
      </c>
      <c r="L114" s="55" t="s">
        <v>819</v>
      </c>
      <c r="M114" s="55" t="s">
        <v>818</v>
      </c>
      <c r="N114" s="16" t="s">
        <v>1182</v>
      </c>
      <c r="O114" s="16"/>
      <c r="P114" s="55"/>
    </row>
    <row r="115" spans="1:16">
      <c r="A115" t="s">
        <v>88</v>
      </c>
      <c r="B115" t="s">
        <v>89</v>
      </c>
      <c r="C115" s="623">
        <v>18989</v>
      </c>
      <c r="D115" s="623">
        <v>12289</v>
      </c>
      <c r="E115" s="623">
        <v>26179</v>
      </c>
      <c r="F115" s="623">
        <v>53943</v>
      </c>
      <c r="G115" s="623">
        <v>3579</v>
      </c>
      <c r="H115" s="16">
        <f t="shared" ref="H115:H163" si="30">SUM(C115:G115)</f>
        <v>114979</v>
      </c>
      <c r="I115"/>
      <c r="J115" s="231">
        <f t="shared" ref="J115:J146" si="31">IF(C115&lt;50,"NC",+RATE((2016-2009),,-C115,C59))</f>
        <v>-1.2520187684775967E-2</v>
      </c>
      <c r="K115" s="231">
        <f t="shared" ref="K115:K146" si="32">IF(D115&lt;50,"NC",+RATE((2016-2009),,-D115,D59))</f>
        <v>-7.1982191874168135E-3</v>
      </c>
      <c r="L115" s="231">
        <f t="shared" ref="L115:L146" si="33">IF(E115&lt;50,"NC",+RATE((2016-2009),,-E115,E59))</f>
        <v>2.921023637664191E-3</v>
      </c>
      <c r="M115" s="231">
        <f t="shared" ref="M115:M146" si="34">IF(F115&lt;50,"NC",+RATE((2016-2009),,-F115,F59))</f>
        <v>9.8672301487919799E-3</v>
      </c>
      <c r="N115" s="231">
        <f t="shared" ref="N115:N146" si="35">IF(G115&lt;50,"NC",+RATE((2016-2009),,-G115,G59))</f>
        <v>-5.2716412754882829E-3</v>
      </c>
      <c r="O115" s="231"/>
    </row>
    <row r="116" spans="1:16">
      <c r="A116" t="s">
        <v>5</v>
      </c>
      <c r="B116" t="s">
        <v>6</v>
      </c>
      <c r="C116" s="623">
        <v>47461</v>
      </c>
      <c r="D116" s="623">
        <v>30631</v>
      </c>
      <c r="E116" s="623">
        <v>61580</v>
      </c>
      <c r="F116" s="623">
        <v>193700</v>
      </c>
      <c r="G116" s="623">
        <v>10670</v>
      </c>
      <c r="H116" s="16">
        <f t="shared" si="30"/>
        <v>344042</v>
      </c>
      <c r="I116"/>
      <c r="J116" s="231">
        <f t="shared" si="31"/>
        <v>4.1786443504046583E-4</v>
      </c>
      <c r="K116" s="231">
        <f t="shared" si="32"/>
        <v>3.1370484552126644E-3</v>
      </c>
      <c r="L116" s="231">
        <f t="shared" si="33"/>
        <v>8.3813799279801315E-3</v>
      </c>
      <c r="M116" s="231">
        <f t="shared" si="34"/>
        <v>2.0717288076654062E-2</v>
      </c>
      <c r="N116" s="231">
        <f t="shared" si="35"/>
        <v>1.1785494268528152E-2</v>
      </c>
      <c r="O116" s="231"/>
    </row>
    <row r="117" spans="1:16">
      <c r="A117" t="s">
        <v>87</v>
      </c>
      <c r="B117" s="72" t="s">
        <v>1076</v>
      </c>
      <c r="C117" s="623">
        <v>12027</v>
      </c>
      <c r="D117" s="623">
        <v>8846</v>
      </c>
      <c r="E117" s="623">
        <v>14327</v>
      </c>
      <c r="F117" s="623">
        <v>42046</v>
      </c>
      <c r="G117" s="623">
        <v>3686</v>
      </c>
      <c r="H117" s="16">
        <f t="shared" si="30"/>
        <v>80932</v>
      </c>
      <c r="I117"/>
      <c r="J117" s="231">
        <f t="shared" si="31"/>
        <v>-1.8344996909693264E-2</v>
      </c>
      <c r="K117" s="231">
        <f t="shared" si="32"/>
        <v>-2.0373029168139049E-2</v>
      </c>
      <c r="L117" s="231">
        <f t="shared" si="33"/>
        <v>4.2820622886214684E-3</v>
      </c>
      <c r="M117" s="231">
        <f t="shared" si="34"/>
        <v>1.4032302926515614E-2</v>
      </c>
      <c r="N117" s="231">
        <f t="shared" si="35"/>
        <v>-1.4574390014980707E-2</v>
      </c>
      <c r="O117" s="231"/>
    </row>
    <row r="118" spans="1:16">
      <c r="A118" t="s">
        <v>7</v>
      </c>
      <c r="B118" t="s">
        <v>8</v>
      </c>
      <c r="C118" s="623">
        <v>57266</v>
      </c>
      <c r="D118" s="623">
        <v>18297</v>
      </c>
      <c r="E118" s="623">
        <v>34428</v>
      </c>
      <c r="F118" s="623">
        <v>114658</v>
      </c>
      <c r="G118" s="623">
        <v>6822</v>
      </c>
      <c r="H118" s="16">
        <f t="shared" si="30"/>
        <v>231471</v>
      </c>
      <c r="I118"/>
      <c r="J118" s="231">
        <f t="shared" si="31"/>
        <v>-1.035717736004918E-2</v>
      </c>
      <c r="K118" s="231">
        <f t="shared" si="32"/>
        <v>-1.0091245334432985E-2</v>
      </c>
      <c r="L118" s="231">
        <f t="shared" si="33"/>
        <v>-6.7773619696194693E-4</v>
      </c>
      <c r="M118" s="231">
        <f t="shared" si="34"/>
        <v>1.1536551391968925E-2</v>
      </c>
      <c r="N118" s="231">
        <f t="shared" si="35"/>
        <v>-7.9765106498864708E-4</v>
      </c>
      <c r="O118" s="231"/>
    </row>
    <row r="119" spans="1:16">
      <c r="A119" t="s">
        <v>9</v>
      </c>
      <c r="B119" t="s">
        <v>10</v>
      </c>
      <c r="C119" s="623">
        <v>30651</v>
      </c>
      <c r="D119" s="623">
        <v>19848</v>
      </c>
      <c r="E119" s="623">
        <v>49534</v>
      </c>
      <c r="F119" s="623">
        <v>165472</v>
      </c>
      <c r="G119" s="623">
        <v>14825</v>
      </c>
      <c r="H119" s="16">
        <f t="shared" si="30"/>
        <v>280330</v>
      </c>
      <c r="I119"/>
      <c r="J119" s="231">
        <f t="shared" si="31"/>
        <v>-2.0854132510758832E-2</v>
      </c>
      <c r="K119" s="231">
        <f t="shared" si="32"/>
        <v>-7.6592225383155573E-3</v>
      </c>
      <c r="L119" s="231">
        <f t="shared" si="33"/>
        <v>6.0454707104512007E-4</v>
      </c>
      <c r="M119" s="231">
        <f t="shared" si="34"/>
        <v>1.6935723782914931E-2</v>
      </c>
      <c r="N119" s="231">
        <f t="shared" si="35"/>
        <v>1.5550333615861431E-2</v>
      </c>
      <c r="O119" s="231"/>
    </row>
    <row r="120" spans="1:16">
      <c r="A120" t="s">
        <v>11</v>
      </c>
      <c r="B120" t="s">
        <v>12</v>
      </c>
      <c r="C120" s="623">
        <v>114698</v>
      </c>
      <c r="D120" s="623">
        <v>47812</v>
      </c>
      <c r="E120" s="623">
        <v>96486</v>
      </c>
      <c r="F120" s="623">
        <v>341490</v>
      </c>
      <c r="G120" s="623">
        <v>24588</v>
      </c>
      <c r="H120" s="16">
        <f t="shared" si="30"/>
        <v>625074</v>
      </c>
      <c r="I120"/>
      <c r="J120" s="231">
        <f t="shared" si="31"/>
        <v>-7.667085390357712E-3</v>
      </c>
      <c r="K120" s="231">
        <f t="shared" si="32"/>
        <v>-3.2433734092032034E-3</v>
      </c>
      <c r="L120" s="231">
        <f t="shared" si="33"/>
        <v>1.0005507129416511E-2</v>
      </c>
      <c r="M120" s="231">
        <f t="shared" si="34"/>
        <v>2.1594770425575244E-2</v>
      </c>
      <c r="N120" s="231">
        <f t="shared" si="35"/>
        <v>-2.0754402070759428E-3</v>
      </c>
      <c r="O120" s="231"/>
    </row>
    <row r="121" spans="1:16">
      <c r="A121" t="s">
        <v>13</v>
      </c>
      <c r="B121" t="s">
        <v>54</v>
      </c>
      <c r="C121" s="623">
        <v>43780</v>
      </c>
      <c r="D121" s="623">
        <v>28068</v>
      </c>
      <c r="E121" s="623">
        <v>61823</v>
      </c>
      <c r="F121" s="623">
        <v>216975</v>
      </c>
      <c r="G121" s="623">
        <v>16090</v>
      </c>
      <c r="H121" s="16">
        <f t="shared" si="30"/>
        <v>366736</v>
      </c>
      <c r="I121"/>
      <c r="J121" s="231">
        <f t="shared" si="31"/>
        <v>1.6106782409918579E-3</v>
      </c>
      <c r="K121" s="231">
        <f t="shared" si="32"/>
        <v>-1.4700540762154383E-2</v>
      </c>
      <c r="L121" s="231">
        <f t="shared" si="33"/>
        <v>1.4334148969335056E-3</v>
      </c>
      <c r="M121" s="231">
        <f t="shared" si="34"/>
        <v>1.1303310623855931E-2</v>
      </c>
      <c r="N121" s="231">
        <f t="shared" si="35"/>
        <v>-1.5700142428165494E-3</v>
      </c>
      <c r="O121" s="231"/>
    </row>
    <row r="122" spans="1:16">
      <c r="A122" t="s">
        <v>14</v>
      </c>
      <c r="B122" t="s">
        <v>15</v>
      </c>
      <c r="C122" s="623">
        <v>14745</v>
      </c>
      <c r="D122" s="623">
        <v>14742</v>
      </c>
      <c r="E122" s="623">
        <v>32285</v>
      </c>
      <c r="F122" s="623">
        <v>98585</v>
      </c>
      <c r="G122" s="623">
        <v>7439</v>
      </c>
      <c r="H122" s="16">
        <f t="shared" si="30"/>
        <v>167796</v>
      </c>
      <c r="I122"/>
      <c r="J122" s="231">
        <f t="shared" si="31"/>
        <v>5.3674283486069415E-3</v>
      </c>
      <c r="K122" s="231">
        <f t="shared" si="32"/>
        <v>-9.9949294110890687E-3</v>
      </c>
      <c r="L122" s="231">
        <f t="shared" si="33"/>
        <v>3.5245388964254723E-3</v>
      </c>
      <c r="M122" s="231">
        <f t="shared" si="34"/>
        <v>2.013482683344818E-2</v>
      </c>
      <c r="N122" s="231">
        <f t="shared" si="35"/>
        <v>2.8559847492972061E-3</v>
      </c>
      <c r="O122" s="231"/>
    </row>
    <row r="123" spans="1:16">
      <c r="A123" t="s">
        <v>16</v>
      </c>
      <c r="B123" t="s">
        <v>17</v>
      </c>
      <c r="C123" s="623">
        <v>54001</v>
      </c>
      <c r="D123" s="623">
        <v>28329</v>
      </c>
      <c r="E123" s="623">
        <v>50950</v>
      </c>
      <c r="F123" s="623">
        <v>167916</v>
      </c>
      <c r="G123" s="623">
        <v>12061</v>
      </c>
      <c r="H123" s="16">
        <f t="shared" si="30"/>
        <v>313257</v>
      </c>
      <c r="I123"/>
      <c r="J123" s="231">
        <f t="shared" si="31"/>
        <v>-3.0003617769150523E-3</v>
      </c>
      <c r="K123" s="231">
        <f t="shared" si="32"/>
        <v>-3.6245982109138312E-3</v>
      </c>
      <c r="L123" s="231">
        <f t="shared" si="33"/>
        <v>9.8829566127431618E-3</v>
      </c>
      <c r="M123" s="231">
        <f t="shared" si="34"/>
        <v>2.6014242780274317E-2</v>
      </c>
      <c r="N123" s="231">
        <f t="shared" si="35"/>
        <v>7.1868025169502317E-3</v>
      </c>
      <c r="O123" s="231"/>
    </row>
    <row r="124" spans="1:16">
      <c r="A124" t="s">
        <v>18</v>
      </c>
      <c r="B124" t="s">
        <v>19</v>
      </c>
      <c r="C124" s="623">
        <v>14535</v>
      </c>
      <c r="D124" s="623">
        <v>15753</v>
      </c>
      <c r="E124" s="623">
        <v>30744</v>
      </c>
      <c r="F124" s="623">
        <v>98697</v>
      </c>
      <c r="G124" s="623">
        <v>5811</v>
      </c>
      <c r="H124" s="16">
        <f t="shared" si="30"/>
        <v>165540</v>
      </c>
      <c r="I124"/>
      <c r="J124" s="231">
        <f t="shared" si="31"/>
        <v>1.6722594925282508E-3</v>
      </c>
      <c r="K124" s="231">
        <f t="shared" si="32"/>
        <v>-2.1734994718338719E-2</v>
      </c>
      <c r="L124" s="231">
        <f t="shared" si="33"/>
        <v>4.3026360161624528E-3</v>
      </c>
      <c r="M124" s="231">
        <f t="shared" si="34"/>
        <v>6.7170056786153287E-4</v>
      </c>
      <c r="N124" s="231">
        <f t="shared" si="35"/>
        <v>3.8877871238433021E-3</v>
      </c>
      <c r="O124" s="231"/>
    </row>
    <row r="125" spans="1:16">
      <c r="A125" t="s">
        <v>20</v>
      </c>
      <c r="B125" t="s">
        <v>21</v>
      </c>
      <c r="C125" s="623">
        <v>40095</v>
      </c>
      <c r="D125" s="623">
        <v>19435</v>
      </c>
      <c r="E125" s="623">
        <v>35568</v>
      </c>
      <c r="F125" s="623">
        <v>115332</v>
      </c>
      <c r="G125" s="623">
        <v>9275</v>
      </c>
      <c r="H125" s="16">
        <f t="shared" si="30"/>
        <v>219705</v>
      </c>
      <c r="I125"/>
      <c r="J125" s="231">
        <f t="shared" si="31"/>
        <v>-9.5470963321213614E-3</v>
      </c>
      <c r="K125" s="231">
        <f t="shared" si="32"/>
        <v>-3.1761214112973994E-3</v>
      </c>
      <c r="L125" s="231">
        <f t="shared" si="33"/>
        <v>6.0541774206671947E-3</v>
      </c>
      <c r="M125" s="231">
        <f t="shared" si="34"/>
        <v>1.9602236036126163E-2</v>
      </c>
      <c r="N125" s="231">
        <f t="shared" si="35"/>
        <v>3.4300391834978816E-3</v>
      </c>
      <c r="O125" s="231"/>
    </row>
    <row r="126" spans="1:16">
      <c r="A126" t="s">
        <v>22</v>
      </c>
      <c r="B126" t="s">
        <v>23</v>
      </c>
      <c r="C126" s="623">
        <v>48258</v>
      </c>
      <c r="D126" s="623">
        <v>22795</v>
      </c>
      <c r="E126" s="623">
        <v>35991</v>
      </c>
      <c r="F126" s="623">
        <v>108275</v>
      </c>
      <c r="G126" s="623">
        <v>7549</v>
      </c>
      <c r="H126" s="16">
        <f t="shared" si="30"/>
        <v>222868</v>
      </c>
      <c r="I126"/>
      <c r="J126" s="231">
        <f t="shared" si="31"/>
        <v>-1.6198166573683961E-2</v>
      </c>
      <c r="K126" s="231">
        <f t="shared" si="32"/>
        <v>-3.0203033941454117E-2</v>
      </c>
      <c r="L126" s="231">
        <f t="shared" si="33"/>
        <v>-1.795806685840931E-3</v>
      </c>
      <c r="M126" s="231">
        <f t="shared" si="34"/>
        <v>7.0655315876985052E-3</v>
      </c>
      <c r="N126" s="231">
        <f t="shared" si="35"/>
        <v>-5.8743302716499739E-3</v>
      </c>
      <c r="O126" s="231"/>
    </row>
    <row r="127" spans="1:16">
      <c r="A127" t="s">
        <v>24</v>
      </c>
      <c r="B127" t="s">
        <v>25</v>
      </c>
      <c r="C127" s="623">
        <v>28222</v>
      </c>
      <c r="D127" s="623">
        <v>13375</v>
      </c>
      <c r="E127" s="623">
        <v>37903</v>
      </c>
      <c r="F127" s="623">
        <v>116002</v>
      </c>
      <c r="G127" s="623">
        <v>7004</v>
      </c>
      <c r="H127" s="16">
        <f t="shared" si="30"/>
        <v>202506</v>
      </c>
      <c r="I127"/>
      <c r="J127" s="231">
        <f t="shared" si="31"/>
        <v>-1.2517868125089954E-2</v>
      </c>
      <c r="K127" s="231">
        <f t="shared" si="32"/>
        <v>-7.7171016784527008E-3</v>
      </c>
      <c r="L127" s="231">
        <f t="shared" si="33"/>
        <v>-1.662872000208165E-3</v>
      </c>
      <c r="M127" s="231">
        <f t="shared" si="34"/>
        <v>1.1853123807290384E-2</v>
      </c>
      <c r="N127" s="231">
        <f t="shared" si="35"/>
        <v>-2.0408999663718171E-4</v>
      </c>
      <c r="O127" s="231"/>
    </row>
    <row r="128" spans="1:16">
      <c r="A128" t="s">
        <v>51</v>
      </c>
      <c r="B128" t="s">
        <v>55</v>
      </c>
      <c r="C128" s="623">
        <v>12519</v>
      </c>
      <c r="D128" s="623">
        <v>12188</v>
      </c>
      <c r="E128" s="623">
        <v>25803</v>
      </c>
      <c r="F128" s="623">
        <v>68598</v>
      </c>
      <c r="G128" s="623">
        <v>4415</v>
      </c>
      <c r="H128" s="16">
        <f t="shared" si="30"/>
        <v>123523</v>
      </c>
      <c r="I128"/>
      <c r="J128" s="231">
        <f t="shared" si="31"/>
        <v>5.4336532915933876E-3</v>
      </c>
      <c r="K128" s="231">
        <f t="shared" si="32"/>
        <v>-1.3854489055034166E-2</v>
      </c>
      <c r="L128" s="231">
        <f t="shared" si="33"/>
        <v>5.4948680337128051E-3</v>
      </c>
      <c r="M128" s="231">
        <f t="shared" si="34"/>
        <v>5.9909631808059659E-3</v>
      </c>
      <c r="N128" s="231">
        <f t="shared" si="35"/>
        <v>1.5178485218256519E-2</v>
      </c>
      <c r="O128" s="231"/>
    </row>
    <row r="129" spans="1:15">
      <c r="A129" t="s">
        <v>26</v>
      </c>
      <c r="B129" t="s">
        <v>27</v>
      </c>
      <c r="C129" s="623">
        <v>71135</v>
      </c>
      <c r="D129" s="623">
        <v>35762</v>
      </c>
      <c r="E129" s="623">
        <v>61494</v>
      </c>
      <c r="F129" s="623">
        <v>225792</v>
      </c>
      <c r="G129" s="623">
        <v>12667</v>
      </c>
      <c r="H129" s="16">
        <f t="shared" si="30"/>
        <v>406850</v>
      </c>
      <c r="I129"/>
      <c r="J129" s="231">
        <f t="shared" si="31"/>
        <v>1.5857701303516523E-2</v>
      </c>
      <c r="K129" s="231">
        <f t="shared" si="32"/>
        <v>-5.738309571629934E-3</v>
      </c>
      <c r="L129" s="231">
        <f t="shared" si="33"/>
        <v>9.199544910412456E-3</v>
      </c>
      <c r="M129" s="231">
        <f t="shared" si="34"/>
        <v>2.3997177507564343E-2</v>
      </c>
      <c r="N129" s="231">
        <f t="shared" si="35"/>
        <v>5.2947097274114374E-3</v>
      </c>
      <c r="O129" s="231"/>
    </row>
    <row r="130" spans="1:15">
      <c r="A130" t="s">
        <v>28</v>
      </c>
      <c r="B130" t="s">
        <v>29</v>
      </c>
      <c r="C130" s="623">
        <v>141896</v>
      </c>
      <c r="D130" s="623">
        <v>57616</v>
      </c>
      <c r="E130" s="623">
        <v>117936</v>
      </c>
      <c r="F130" s="623">
        <v>387180</v>
      </c>
      <c r="G130" s="623">
        <v>26325</v>
      </c>
      <c r="H130" s="16">
        <f t="shared" si="30"/>
        <v>730953</v>
      </c>
      <c r="I130"/>
      <c r="J130" s="231">
        <f t="shared" si="31"/>
        <v>-7.4378623038539185E-3</v>
      </c>
      <c r="K130" s="231">
        <f t="shared" si="32"/>
        <v>-4.3635473939454576E-3</v>
      </c>
      <c r="L130" s="231">
        <f t="shared" si="33"/>
        <v>9.6752067656426452E-3</v>
      </c>
      <c r="M130" s="231">
        <f t="shared" si="34"/>
        <v>2.1876414322445168E-2</v>
      </c>
      <c r="N130" s="231">
        <f t="shared" si="35"/>
        <v>-1.679857101763304E-3</v>
      </c>
      <c r="O130" s="231"/>
    </row>
    <row r="131" spans="1:15">
      <c r="A131" t="s">
        <v>30</v>
      </c>
      <c r="B131" t="s">
        <v>59</v>
      </c>
      <c r="C131" s="623">
        <v>66274</v>
      </c>
      <c r="D131" s="623">
        <v>39241</v>
      </c>
      <c r="E131" s="623">
        <v>81946</v>
      </c>
      <c r="F131" s="623">
        <v>293104</v>
      </c>
      <c r="G131" s="623">
        <v>18578</v>
      </c>
      <c r="H131" s="16">
        <f t="shared" si="30"/>
        <v>499143</v>
      </c>
      <c r="I131"/>
      <c r="J131" s="231">
        <f t="shared" si="31"/>
        <v>-1.0140341094644616E-3</v>
      </c>
      <c r="K131" s="231">
        <f t="shared" si="32"/>
        <v>-1.012833579137196E-2</v>
      </c>
      <c r="L131" s="231">
        <f t="shared" si="33"/>
        <v>2.5277243144285273E-3</v>
      </c>
      <c r="M131" s="231">
        <f t="shared" si="34"/>
        <v>1.2937958736520577E-2</v>
      </c>
      <c r="N131" s="231">
        <f t="shared" si="35"/>
        <v>2.5184557045808149E-3</v>
      </c>
      <c r="O131" s="231"/>
    </row>
    <row r="132" spans="1:15">
      <c r="A132" t="s">
        <v>31</v>
      </c>
      <c r="B132" t="s">
        <v>32</v>
      </c>
      <c r="C132" s="623">
        <v>64517</v>
      </c>
      <c r="D132" s="623">
        <v>33225</v>
      </c>
      <c r="E132" s="623">
        <v>57438</v>
      </c>
      <c r="F132" s="623">
        <v>216845</v>
      </c>
      <c r="G132" s="623">
        <v>12425</v>
      </c>
      <c r="H132" s="16">
        <f t="shared" si="30"/>
        <v>384450</v>
      </c>
      <c r="I132"/>
      <c r="J132" s="231">
        <f t="shared" si="31"/>
        <v>1.7919357869465018E-2</v>
      </c>
      <c r="K132" s="231">
        <f t="shared" si="32"/>
        <v>-5.0107387522612011E-3</v>
      </c>
      <c r="L132" s="231">
        <f t="shared" si="33"/>
        <v>9.2595979198559254E-3</v>
      </c>
      <c r="M132" s="231">
        <f t="shared" si="34"/>
        <v>2.440899242096398E-2</v>
      </c>
      <c r="N132" s="231">
        <f t="shared" si="35"/>
        <v>5.1399510189252861E-3</v>
      </c>
      <c r="O132" s="231"/>
    </row>
    <row r="133" spans="1:15">
      <c r="A133" t="s">
        <v>33</v>
      </c>
      <c r="B133" t="s">
        <v>34</v>
      </c>
      <c r="C133" s="623">
        <v>48190</v>
      </c>
      <c r="D133" s="623">
        <v>27158</v>
      </c>
      <c r="E133" s="623">
        <v>75770</v>
      </c>
      <c r="F133" s="623">
        <v>213408</v>
      </c>
      <c r="G133" s="623">
        <v>18646</v>
      </c>
      <c r="H133" s="16">
        <f t="shared" si="30"/>
        <v>383172</v>
      </c>
      <c r="I133"/>
      <c r="J133" s="231">
        <f t="shared" si="31"/>
        <v>-2.0425454770638517E-2</v>
      </c>
      <c r="K133" s="231">
        <f t="shared" si="32"/>
        <v>-1.3278722395188203E-2</v>
      </c>
      <c r="L133" s="231">
        <f t="shared" si="33"/>
        <v>-8.9252910512413342E-3</v>
      </c>
      <c r="M133" s="231">
        <f t="shared" si="34"/>
        <v>1.5566084115044437E-2</v>
      </c>
      <c r="N133" s="231">
        <f t="shared" si="35"/>
        <v>1.1129098750424676E-2</v>
      </c>
      <c r="O133" s="231"/>
    </row>
    <row r="134" spans="1:15">
      <c r="A134" t="s">
        <v>35</v>
      </c>
      <c r="B134" t="s">
        <v>61</v>
      </c>
      <c r="C134" s="623">
        <v>44241</v>
      </c>
      <c r="D134" s="623">
        <v>28990</v>
      </c>
      <c r="E134" s="623">
        <v>58689</v>
      </c>
      <c r="F134" s="623">
        <v>188013</v>
      </c>
      <c r="G134" s="623">
        <v>10590</v>
      </c>
      <c r="H134" s="16">
        <f t="shared" si="30"/>
        <v>330523</v>
      </c>
      <c r="I134"/>
      <c r="J134" s="231">
        <f t="shared" si="31"/>
        <v>-7.1515627331546921E-4</v>
      </c>
      <c r="K134" s="231">
        <f t="shared" si="32"/>
        <v>4.3675269822164133E-3</v>
      </c>
      <c r="L134" s="231">
        <f t="shared" si="33"/>
        <v>9.9689222027719033E-3</v>
      </c>
      <c r="M134" s="231">
        <f t="shared" si="34"/>
        <v>2.1257146959092324E-2</v>
      </c>
      <c r="N134" s="231">
        <f t="shared" si="35"/>
        <v>1.1254510050482315E-2</v>
      </c>
      <c r="O134" s="231"/>
    </row>
    <row r="135" spans="1:15">
      <c r="A135" t="s">
        <v>36</v>
      </c>
      <c r="B135" t="s">
        <v>37</v>
      </c>
      <c r="C135" s="623">
        <v>28470</v>
      </c>
      <c r="D135" s="623">
        <v>24822</v>
      </c>
      <c r="E135" s="623">
        <v>53143</v>
      </c>
      <c r="F135" s="623">
        <v>165745</v>
      </c>
      <c r="G135" s="623">
        <v>9406</v>
      </c>
      <c r="H135" s="16">
        <f t="shared" si="30"/>
        <v>281586</v>
      </c>
      <c r="I135"/>
      <c r="J135" s="231">
        <f t="shared" si="31"/>
        <v>-2.1006016404417761E-3</v>
      </c>
      <c r="K135" s="231">
        <f t="shared" si="32"/>
        <v>-1.9258513338604972E-2</v>
      </c>
      <c r="L135" s="231">
        <f t="shared" si="33"/>
        <v>4.1731837931959269E-3</v>
      </c>
      <c r="M135" s="231">
        <f t="shared" si="34"/>
        <v>4.7599035846041847E-3</v>
      </c>
      <c r="N135" s="231">
        <f t="shared" si="35"/>
        <v>9.5410079053778914E-4</v>
      </c>
      <c r="O135" s="231"/>
    </row>
    <row r="136" spans="1:15">
      <c r="A136" t="s">
        <v>38</v>
      </c>
      <c r="B136" t="s">
        <v>39</v>
      </c>
      <c r="C136" s="623">
        <v>40511</v>
      </c>
      <c r="D136" s="623">
        <v>24161</v>
      </c>
      <c r="E136" s="623">
        <v>45986</v>
      </c>
      <c r="F136" s="623">
        <v>157441</v>
      </c>
      <c r="G136" s="623">
        <v>11364</v>
      </c>
      <c r="H136" s="16">
        <f t="shared" si="30"/>
        <v>279463</v>
      </c>
      <c r="I136"/>
      <c r="J136" s="231">
        <f t="shared" si="31"/>
        <v>-1.5873569667648837E-3</v>
      </c>
      <c r="K136" s="231">
        <f t="shared" si="32"/>
        <v>-1.9926322897571434E-3</v>
      </c>
      <c r="L136" s="231">
        <f t="shared" si="33"/>
        <v>8.0034001416336657E-3</v>
      </c>
      <c r="M136" s="231">
        <f t="shared" si="34"/>
        <v>2.5588248623169736E-2</v>
      </c>
      <c r="N136" s="231">
        <f t="shared" si="35"/>
        <v>6.6661226233902743E-3</v>
      </c>
      <c r="O136" s="231"/>
    </row>
    <row r="137" spans="1:15">
      <c r="A137" t="s">
        <v>40</v>
      </c>
      <c r="B137" t="s">
        <v>41</v>
      </c>
      <c r="C137" s="623">
        <v>46001</v>
      </c>
      <c r="D137" s="623">
        <v>18514</v>
      </c>
      <c r="E137" s="623">
        <v>45860</v>
      </c>
      <c r="F137" s="623">
        <v>129378</v>
      </c>
      <c r="G137" s="623">
        <v>7277</v>
      </c>
      <c r="H137" s="16">
        <f t="shared" si="30"/>
        <v>247030</v>
      </c>
      <c r="I137"/>
      <c r="J137" s="231">
        <f t="shared" si="31"/>
        <v>-8.9508982739283302E-3</v>
      </c>
      <c r="K137" s="231">
        <f t="shared" si="32"/>
        <v>-1.086493437618892E-2</v>
      </c>
      <c r="L137" s="231">
        <f t="shared" si="33"/>
        <v>-2.6187157999441247E-4</v>
      </c>
      <c r="M137" s="231">
        <f t="shared" si="34"/>
        <v>1.2515319001087112E-2</v>
      </c>
      <c r="N137" s="231">
        <f t="shared" si="35"/>
        <v>6.8568422948600213E-4</v>
      </c>
      <c r="O137" s="231"/>
    </row>
    <row r="138" spans="1:15">
      <c r="A138" t="s">
        <v>42</v>
      </c>
      <c r="B138" t="s">
        <v>43</v>
      </c>
      <c r="C138" s="623">
        <v>51145</v>
      </c>
      <c r="D138" s="623">
        <v>15517</v>
      </c>
      <c r="E138" s="623">
        <v>30402</v>
      </c>
      <c r="F138" s="623">
        <v>102725</v>
      </c>
      <c r="G138" s="623">
        <v>6514</v>
      </c>
      <c r="H138" s="16">
        <f t="shared" si="30"/>
        <v>206303</v>
      </c>
      <c r="I138"/>
      <c r="J138" s="231">
        <f t="shared" si="31"/>
        <v>-1.0072649727850037E-2</v>
      </c>
      <c r="K138" s="231">
        <f t="shared" si="32"/>
        <v>-1.0449044201045928E-2</v>
      </c>
      <c r="L138" s="231">
        <f t="shared" si="33"/>
        <v>-1.6812786476827159E-3</v>
      </c>
      <c r="M138" s="231">
        <f t="shared" si="34"/>
        <v>1.2258947676729148E-2</v>
      </c>
      <c r="N138" s="231">
        <f t="shared" si="35"/>
        <v>-1.7416053285238538E-3</v>
      </c>
      <c r="O138" s="231"/>
    </row>
    <row r="139" spans="1:15">
      <c r="A139" t="s">
        <v>44</v>
      </c>
      <c r="B139" t="s">
        <v>45</v>
      </c>
      <c r="C139" s="623">
        <v>34197</v>
      </c>
      <c r="D139" s="623">
        <v>17478</v>
      </c>
      <c r="E139" s="623">
        <v>33031</v>
      </c>
      <c r="F139" s="623">
        <v>109170</v>
      </c>
      <c r="G139" s="623">
        <v>8978</v>
      </c>
      <c r="H139" s="16">
        <f t="shared" si="30"/>
        <v>202854</v>
      </c>
      <c r="I139"/>
      <c r="J139" s="231">
        <f t="shared" si="31"/>
        <v>-1.2151966550655648E-2</v>
      </c>
      <c r="K139" s="231">
        <f t="shared" si="32"/>
        <v>-2.0146531285033589E-3</v>
      </c>
      <c r="L139" s="231">
        <f t="shared" si="33"/>
        <v>5.7598086121007216E-3</v>
      </c>
      <c r="M139" s="231">
        <f t="shared" si="34"/>
        <v>1.9205661468908036E-2</v>
      </c>
      <c r="N139" s="231">
        <f t="shared" si="35"/>
        <v>2.4012432703344592E-3</v>
      </c>
      <c r="O139" s="231"/>
    </row>
    <row r="140" spans="1:15">
      <c r="A140" t="s">
        <v>46</v>
      </c>
      <c r="B140" t="s">
        <v>47</v>
      </c>
      <c r="C140" s="623">
        <v>31897</v>
      </c>
      <c r="D140" s="623">
        <v>19122</v>
      </c>
      <c r="E140" s="623">
        <v>30744</v>
      </c>
      <c r="F140" s="623">
        <v>92811</v>
      </c>
      <c r="G140" s="623">
        <v>7052</v>
      </c>
      <c r="H140" s="16">
        <f t="shared" si="30"/>
        <v>181626</v>
      </c>
      <c r="I140"/>
      <c r="J140" s="231">
        <f t="shared" si="31"/>
        <v>-2.0281349102156274E-2</v>
      </c>
      <c r="K140" s="231">
        <f t="shared" si="32"/>
        <v>-3.5846985327964286E-2</v>
      </c>
      <c r="L140" s="231">
        <f t="shared" si="33"/>
        <v>-3.090663263332097E-3</v>
      </c>
      <c r="M140" s="231">
        <f t="shared" si="34"/>
        <v>5.8589690471877107E-3</v>
      </c>
      <c r="N140" s="231">
        <f t="shared" si="35"/>
        <v>-6.9920646802081928E-3</v>
      </c>
      <c r="O140" s="231"/>
    </row>
    <row r="141" spans="1:15">
      <c r="A141" t="s">
        <v>56</v>
      </c>
      <c r="B141" t="s">
        <v>63</v>
      </c>
      <c r="C141" s="623">
        <v>13271</v>
      </c>
      <c r="D141" s="623">
        <v>11604</v>
      </c>
      <c r="E141" s="623">
        <v>25187</v>
      </c>
      <c r="F141" s="623">
        <v>68010</v>
      </c>
      <c r="G141" s="623">
        <v>4259</v>
      </c>
      <c r="H141" s="16">
        <f t="shared" si="30"/>
        <v>122331</v>
      </c>
      <c r="I141"/>
      <c r="J141" s="231">
        <f t="shared" si="31"/>
        <v>7.1331671769211064E-3</v>
      </c>
      <c r="K141" s="231">
        <f t="shared" si="32"/>
        <v>-1.4892987408442002E-2</v>
      </c>
      <c r="L141" s="231">
        <f t="shared" si="33"/>
        <v>5.8571942843607698E-3</v>
      </c>
      <c r="M141" s="231">
        <f t="shared" si="34"/>
        <v>9.2644093848307935E-3</v>
      </c>
      <c r="N141" s="231">
        <f t="shared" si="35"/>
        <v>5.4122806067315567E-3</v>
      </c>
      <c r="O141" s="231"/>
    </row>
    <row r="142" spans="1:15">
      <c r="A142" t="s">
        <v>57</v>
      </c>
      <c r="B142" t="s">
        <v>64</v>
      </c>
      <c r="C142" s="623">
        <v>24550</v>
      </c>
      <c r="D142" s="623">
        <v>12154</v>
      </c>
      <c r="E142" s="623">
        <v>20239</v>
      </c>
      <c r="F142" s="623">
        <v>60203</v>
      </c>
      <c r="G142" s="623">
        <v>4916</v>
      </c>
      <c r="H142" s="16">
        <f t="shared" si="30"/>
        <v>122062</v>
      </c>
      <c r="I142"/>
      <c r="J142" s="231">
        <f t="shared" si="31"/>
        <v>-2.6701438010907002E-2</v>
      </c>
      <c r="K142" s="231">
        <f t="shared" si="32"/>
        <v>-2.3570878765609052E-2</v>
      </c>
      <c r="L142" s="231">
        <f t="shared" si="33"/>
        <v>2.3276815718484143E-4</v>
      </c>
      <c r="M142" s="231">
        <f t="shared" si="34"/>
        <v>2.2629610918634187E-2</v>
      </c>
      <c r="N142" s="231">
        <f t="shared" si="35"/>
        <v>-1.3242771668276905E-2</v>
      </c>
      <c r="O142" s="231"/>
    </row>
    <row r="143" spans="1:15">
      <c r="A143" t="s">
        <v>48</v>
      </c>
      <c r="B143" t="s">
        <v>49</v>
      </c>
      <c r="C143" s="623">
        <v>13041</v>
      </c>
      <c r="D143" s="623">
        <v>13423</v>
      </c>
      <c r="E143" s="623">
        <v>28933</v>
      </c>
      <c r="F143" s="623">
        <v>90392</v>
      </c>
      <c r="G143" s="623">
        <v>7185</v>
      </c>
      <c r="H143" s="16">
        <f t="shared" si="30"/>
        <v>152974</v>
      </c>
      <c r="I143"/>
      <c r="J143" s="231">
        <f t="shared" si="31"/>
        <v>4.4959589297819784E-3</v>
      </c>
      <c r="K143" s="231">
        <f t="shared" si="32"/>
        <v>-9.2343698425869803E-3</v>
      </c>
      <c r="L143" s="231">
        <f t="shared" si="33"/>
        <v>2.5284971950530512E-3</v>
      </c>
      <c r="M143" s="231">
        <f t="shared" si="34"/>
        <v>2.0860894366060471E-2</v>
      </c>
      <c r="N143" s="231">
        <f t="shared" si="35"/>
        <v>1.7799098091428791E-3</v>
      </c>
      <c r="O143" s="231"/>
    </row>
    <row r="144" spans="1:15">
      <c r="A144" t="s">
        <v>58</v>
      </c>
      <c r="B144" t="s">
        <v>65</v>
      </c>
      <c r="C144" s="623">
        <v>17973</v>
      </c>
      <c r="D144" s="623">
        <v>12267</v>
      </c>
      <c r="E144" s="623">
        <v>28941</v>
      </c>
      <c r="F144" s="623">
        <v>60241</v>
      </c>
      <c r="G144" s="623">
        <v>3694</v>
      </c>
      <c r="H144" s="16">
        <f t="shared" si="30"/>
        <v>123116</v>
      </c>
      <c r="I144"/>
      <c r="J144" s="231">
        <f t="shared" si="31"/>
        <v>-1.301615547228073E-2</v>
      </c>
      <c r="K144" s="231">
        <f t="shared" si="32"/>
        <v>-1.5568393320627814E-2</v>
      </c>
      <c r="L144" s="231">
        <f t="shared" si="33"/>
        <v>4.0234334619752028E-3</v>
      </c>
      <c r="M144" s="231">
        <f t="shared" si="34"/>
        <v>8.558490059786119E-3</v>
      </c>
      <c r="N144" s="231">
        <f t="shared" si="35"/>
        <v>-5.9846406121777272E-3</v>
      </c>
      <c r="O144" s="231"/>
    </row>
    <row r="145" spans="1:15">
      <c r="A145" t="s">
        <v>254</v>
      </c>
      <c r="B145" t="s">
        <v>234</v>
      </c>
      <c r="C145" s="623">
        <v>29138</v>
      </c>
      <c r="D145" s="623">
        <v>25815</v>
      </c>
      <c r="E145" s="623">
        <v>55024</v>
      </c>
      <c r="F145" s="623">
        <v>172683</v>
      </c>
      <c r="G145" s="623">
        <v>9559</v>
      </c>
      <c r="H145" s="16">
        <f t="shared" si="30"/>
        <v>292219</v>
      </c>
      <c r="J145" s="231">
        <f t="shared" si="31"/>
        <v>-2.8581970916479378E-3</v>
      </c>
      <c r="K145" s="231">
        <f t="shared" si="32"/>
        <v>-1.8585940760650628E-2</v>
      </c>
      <c r="L145" s="231">
        <f t="shared" si="33"/>
        <v>4.1285071707093269E-3</v>
      </c>
      <c r="M145" s="231">
        <f t="shared" si="34"/>
        <v>4.4262987210963558E-3</v>
      </c>
      <c r="N145" s="231">
        <f t="shared" si="35"/>
        <v>1.6358755041397624E-3</v>
      </c>
      <c r="O145" s="231"/>
    </row>
    <row r="146" spans="1:15">
      <c r="A146" t="s">
        <v>255</v>
      </c>
      <c r="B146" t="s">
        <v>235</v>
      </c>
      <c r="C146" s="623">
        <v>75685</v>
      </c>
      <c r="D146" s="623">
        <v>44445</v>
      </c>
      <c r="E146" s="623">
        <v>94517</v>
      </c>
      <c r="F146" s="623">
        <v>325229</v>
      </c>
      <c r="G146" s="623">
        <v>19618</v>
      </c>
      <c r="H146" s="16">
        <f t="shared" si="30"/>
        <v>559494</v>
      </c>
      <c r="J146" s="231">
        <f t="shared" si="31"/>
        <v>-1.5645302357200912E-3</v>
      </c>
      <c r="K146" s="231">
        <f t="shared" si="32"/>
        <v>-8.62864212973803E-3</v>
      </c>
      <c r="L146" s="231">
        <f t="shared" si="33"/>
        <v>3.2480126162626245E-3</v>
      </c>
      <c r="M146" s="231">
        <f t="shared" si="34"/>
        <v>1.3701205530008618E-2</v>
      </c>
      <c r="N146" s="231">
        <f t="shared" si="35"/>
        <v>2.7516016059733837E-3</v>
      </c>
      <c r="O146" s="231"/>
    </row>
    <row r="147" spans="1:15">
      <c r="A147" t="s">
        <v>256</v>
      </c>
      <c r="B147" t="s">
        <v>236</v>
      </c>
      <c r="C147" s="623">
        <v>66034</v>
      </c>
      <c r="D147" s="623">
        <v>33906</v>
      </c>
      <c r="E147" s="623">
        <v>59120</v>
      </c>
      <c r="F147" s="623">
        <v>220559</v>
      </c>
      <c r="G147" s="623">
        <v>12490</v>
      </c>
      <c r="H147" s="16">
        <f t="shared" si="30"/>
        <v>392109</v>
      </c>
      <c r="J147" s="231">
        <f t="shared" ref="J147:J163" si="36">IF(C147&lt;50,"NC",+RATE((2016-2009),,-C147,C91))</f>
        <v>1.7052087977277315E-2</v>
      </c>
      <c r="K147" s="231">
        <f t="shared" ref="K147:K163" si="37">IF(D147&lt;50,"NC",+RATE((2016-2009),,-D147,D91))</f>
        <v>-6.1631300549650101E-3</v>
      </c>
      <c r="L147" s="231">
        <f t="shared" ref="L147:L163" si="38">IF(E147&lt;50,"NC",+RATE((2016-2009),,-E147,E91))</f>
        <v>8.2802386945810217E-3</v>
      </c>
      <c r="M147" s="231">
        <f t="shared" ref="M147:M163" si="39">IF(F147&lt;50,"NC",+RATE((2016-2009),,-F147,F91))</f>
        <v>2.3696300655815818E-2</v>
      </c>
      <c r="N147" s="231">
        <f t="shared" ref="N147:N163" si="40">IF(G147&lt;50,"NC",+RATE((2016-2009),,-G147,G91))</f>
        <v>4.2795590379877506E-3</v>
      </c>
      <c r="O147" s="231"/>
    </row>
    <row r="148" spans="1:15">
      <c r="A148" t="s">
        <v>71</v>
      </c>
      <c r="B148" t="s">
        <v>114</v>
      </c>
      <c r="C148" s="623">
        <v>53551</v>
      </c>
      <c r="D148" s="623">
        <v>34745</v>
      </c>
      <c r="E148" s="623">
        <v>72399</v>
      </c>
      <c r="F148" s="623">
        <v>213443</v>
      </c>
      <c r="G148" s="623">
        <v>11337</v>
      </c>
      <c r="H148" s="16">
        <f t="shared" si="30"/>
        <v>385475</v>
      </c>
      <c r="J148" s="231">
        <f t="shared" si="36"/>
        <v>7.4678417949956239E-5</v>
      </c>
      <c r="K148" s="231">
        <f t="shared" si="37"/>
        <v>1.0901110340378549E-3</v>
      </c>
      <c r="L148" s="231">
        <f t="shared" si="38"/>
        <v>9.2276920869599592E-3</v>
      </c>
      <c r="M148" s="231">
        <f t="shared" si="39"/>
        <v>2.0483138456855347E-2</v>
      </c>
      <c r="N148" s="231">
        <f t="shared" si="40"/>
        <v>1.1491473988752271E-2</v>
      </c>
      <c r="O148" s="231"/>
    </row>
    <row r="149" spans="1:15">
      <c r="A149" t="s">
        <v>257</v>
      </c>
      <c r="B149" t="s">
        <v>237</v>
      </c>
      <c r="C149" s="623">
        <v>22768</v>
      </c>
      <c r="D149" s="623">
        <v>23054</v>
      </c>
      <c r="E149" s="623">
        <v>49623</v>
      </c>
      <c r="F149" s="623">
        <v>136898</v>
      </c>
      <c r="G149" s="623">
        <v>9095</v>
      </c>
      <c r="H149" s="16">
        <f t="shared" si="30"/>
        <v>241438</v>
      </c>
      <c r="J149" s="231">
        <f t="shared" si="36"/>
        <v>2.1259868109519565E-3</v>
      </c>
      <c r="K149" s="231">
        <f t="shared" si="37"/>
        <v>-1.5051419201184434E-2</v>
      </c>
      <c r="L149" s="231">
        <f t="shared" si="38"/>
        <v>4.3727660562453028E-3</v>
      </c>
      <c r="M149" s="231">
        <f t="shared" si="39"/>
        <v>1.7374354510970344E-2</v>
      </c>
      <c r="N149" s="231">
        <f t="shared" si="40"/>
        <v>6.3189039932419729E-3</v>
      </c>
      <c r="O149" s="231"/>
    </row>
    <row r="150" spans="1:15">
      <c r="A150" t="s">
        <v>258</v>
      </c>
      <c r="B150" t="s">
        <v>238</v>
      </c>
      <c r="C150" s="623">
        <v>57388</v>
      </c>
      <c r="D150" s="623">
        <v>25407</v>
      </c>
      <c r="E150" s="623">
        <v>47528</v>
      </c>
      <c r="F150" s="623">
        <v>141339</v>
      </c>
      <c r="G150" s="623">
        <v>11104</v>
      </c>
      <c r="H150" s="16">
        <f t="shared" si="30"/>
        <v>282766</v>
      </c>
      <c r="I150"/>
      <c r="J150" s="231">
        <f t="shared" si="36"/>
        <v>-6.236724680536561E-3</v>
      </c>
      <c r="K150" s="231">
        <f t="shared" si="37"/>
        <v>-8.5313150590221459E-3</v>
      </c>
      <c r="L150" s="231">
        <f t="shared" si="38"/>
        <v>5.548568400152519E-3</v>
      </c>
      <c r="M150" s="231">
        <f t="shared" si="39"/>
        <v>2.0744124568042567E-2</v>
      </c>
      <c r="N150" s="231">
        <f t="shared" si="40"/>
        <v>6.3862186249248505E-3</v>
      </c>
      <c r="O150" s="231"/>
    </row>
    <row r="151" spans="1:15">
      <c r="A151" t="s">
        <v>259</v>
      </c>
      <c r="B151" t="s">
        <v>239</v>
      </c>
      <c r="C151" s="623">
        <v>84882</v>
      </c>
      <c r="D151" s="623">
        <v>28282</v>
      </c>
      <c r="E151" s="623">
        <v>52420</v>
      </c>
      <c r="F151" s="623">
        <v>155160</v>
      </c>
      <c r="G151" s="623">
        <v>8710</v>
      </c>
      <c r="H151" s="16">
        <f t="shared" si="30"/>
        <v>329454</v>
      </c>
      <c r="I151"/>
      <c r="J151" s="231">
        <f t="shared" si="36"/>
        <v>-1.04270262093412E-2</v>
      </c>
      <c r="K151" s="231">
        <f t="shared" si="37"/>
        <v>-4.9524031818760058E-3</v>
      </c>
      <c r="L151" s="231">
        <f t="shared" si="38"/>
        <v>3.9428082031689234E-3</v>
      </c>
      <c r="M151" s="231">
        <f t="shared" si="39"/>
        <v>1.4216334353657954E-2</v>
      </c>
      <c r="N151" s="231">
        <f t="shared" si="40"/>
        <v>-6.352357165766289E-3</v>
      </c>
      <c r="O151" s="231"/>
    </row>
    <row r="152" spans="1:15">
      <c r="A152" t="s">
        <v>260</v>
      </c>
      <c r="B152" t="s">
        <v>240</v>
      </c>
      <c r="C152" s="623">
        <v>69595</v>
      </c>
      <c r="D152" s="623">
        <v>34821</v>
      </c>
      <c r="E152" s="623">
        <v>62460</v>
      </c>
      <c r="F152" s="623">
        <v>200168</v>
      </c>
      <c r="G152" s="623">
        <v>13654</v>
      </c>
      <c r="H152" s="16">
        <f t="shared" si="30"/>
        <v>380698</v>
      </c>
      <c r="I152"/>
      <c r="J152" s="231">
        <f t="shared" si="36"/>
        <v>4.9805949889372692E-4</v>
      </c>
      <c r="K152" s="231">
        <f t="shared" si="37"/>
        <v>-5.1454792326667362E-3</v>
      </c>
      <c r="L152" s="231">
        <f t="shared" si="38"/>
        <v>8.2618050997734574E-3</v>
      </c>
      <c r="M152" s="231">
        <f t="shared" si="39"/>
        <v>2.5193836302696056E-2</v>
      </c>
      <c r="N152" s="231">
        <f t="shared" si="40"/>
        <v>6.7764885606014296E-3</v>
      </c>
      <c r="O152" s="231"/>
    </row>
    <row r="153" spans="1:15">
      <c r="A153" t="s">
        <v>261</v>
      </c>
      <c r="B153" t="s">
        <v>241</v>
      </c>
      <c r="C153" s="623">
        <v>140730</v>
      </c>
      <c r="D153" s="623">
        <v>54321</v>
      </c>
      <c r="E153" s="623">
        <v>123635</v>
      </c>
      <c r="F153" s="623">
        <v>342093</v>
      </c>
      <c r="G153" s="623">
        <v>28521</v>
      </c>
      <c r="H153" s="16">
        <f t="shared" si="30"/>
        <v>689300</v>
      </c>
      <c r="I153"/>
      <c r="J153" s="231">
        <f t="shared" si="36"/>
        <v>-1.7522238507812888E-2</v>
      </c>
      <c r="K153" s="231">
        <f t="shared" si="37"/>
        <v>-1.9033401696253355E-2</v>
      </c>
      <c r="L153" s="231">
        <f t="shared" si="38"/>
        <v>-5.4461144552104598E-3</v>
      </c>
      <c r="M153" s="231">
        <f t="shared" si="39"/>
        <v>1.4952187304240147E-2</v>
      </c>
      <c r="N153" s="231">
        <f t="shared" si="40"/>
        <v>3.6071655065044931E-3</v>
      </c>
      <c r="O153" s="231"/>
    </row>
    <row r="154" spans="1:15">
      <c r="A154" t="s">
        <v>262</v>
      </c>
      <c r="B154" t="s">
        <v>247</v>
      </c>
      <c r="C154" s="623">
        <v>73526</v>
      </c>
      <c r="D154" s="623">
        <v>32176</v>
      </c>
      <c r="E154" s="623">
        <v>56731</v>
      </c>
      <c r="F154" s="623">
        <v>146991</v>
      </c>
      <c r="G154" s="623">
        <v>10434</v>
      </c>
      <c r="H154" s="16">
        <f t="shared" si="30"/>
        <v>319858</v>
      </c>
      <c r="I154"/>
      <c r="J154" s="231">
        <f t="shared" si="36"/>
        <v>-2.1626310817343571E-2</v>
      </c>
      <c r="K154" s="231">
        <f t="shared" si="37"/>
        <v>-2.346377245921492E-2</v>
      </c>
      <c r="L154" s="231">
        <f t="shared" si="38"/>
        <v>-1.0533914300356407E-3</v>
      </c>
      <c r="M154" s="231">
        <f t="shared" si="39"/>
        <v>1.0073001684298668E-2</v>
      </c>
      <c r="N154" s="231">
        <f t="shared" si="40"/>
        <v>-9.3928020379206185E-3</v>
      </c>
      <c r="O154" s="231"/>
    </row>
    <row r="155" spans="1:15">
      <c r="A155" t="s">
        <v>263</v>
      </c>
      <c r="B155" t="s">
        <v>242</v>
      </c>
      <c r="C155" s="623">
        <v>77410</v>
      </c>
      <c r="D155" s="623">
        <v>27029</v>
      </c>
      <c r="E155" s="623">
        <v>60672</v>
      </c>
      <c r="F155" s="623">
        <v>158384</v>
      </c>
      <c r="G155" s="623">
        <v>8927</v>
      </c>
      <c r="H155" s="16">
        <f t="shared" si="30"/>
        <v>332422</v>
      </c>
      <c r="I155"/>
      <c r="J155" s="231">
        <f t="shared" si="36"/>
        <v>-7.5410931660232824E-3</v>
      </c>
      <c r="K155" s="231">
        <f t="shared" si="37"/>
        <v>-1.3631427243586557E-2</v>
      </c>
      <c r="L155" s="231">
        <f t="shared" si="38"/>
        <v>-1.5311808701693803E-4</v>
      </c>
      <c r="M155" s="231">
        <f t="shared" si="39"/>
        <v>1.3159864711485241E-2</v>
      </c>
      <c r="N155" s="231">
        <f t="shared" si="40"/>
        <v>-4.8549853688733234E-3</v>
      </c>
      <c r="O155" s="231"/>
    </row>
    <row r="156" spans="1:15">
      <c r="A156" t="s">
        <v>264</v>
      </c>
      <c r="B156" t="s">
        <v>243</v>
      </c>
      <c r="C156" s="623">
        <v>110142</v>
      </c>
      <c r="D156" s="623">
        <v>47900</v>
      </c>
      <c r="E156" s="623">
        <v>99015</v>
      </c>
      <c r="F156" s="623">
        <v>347177</v>
      </c>
      <c r="G156" s="623">
        <v>25153</v>
      </c>
      <c r="H156" s="16">
        <f t="shared" si="30"/>
        <v>629387</v>
      </c>
      <c r="I156"/>
      <c r="J156" s="231">
        <f t="shared" si="36"/>
        <v>-8.0532545643493721E-3</v>
      </c>
      <c r="K156" s="231">
        <f t="shared" si="37"/>
        <v>-3.767334454316255E-3</v>
      </c>
      <c r="L156" s="231">
        <f t="shared" si="38"/>
        <v>8.4962020862959231E-3</v>
      </c>
      <c r="M156" s="231">
        <f t="shared" si="39"/>
        <v>2.15160561009516E-2</v>
      </c>
      <c r="N156" s="231">
        <f t="shared" si="40"/>
        <v>-2.9336101695269373E-3</v>
      </c>
      <c r="O156" s="231"/>
    </row>
    <row r="157" spans="1:15">
      <c r="A157" t="s">
        <v>265</v>
      </c>
      <c r="B157" t="s">
        <v>244</v>
      </c>
      <c r="C157" s="623">
        <v>81073</v>
      </c>
      <c r="D157" s="623">
        <v>34386</v>
      </c>
      <c r="E157" s="623">
        <v>53574</v>
      </c>
      <c r="F157" s="623">
        <v>164935</v>
      </c>
      <c r="G157" s="623">
        <v>11173</v>
      </c>
      <c r="H157" s="16">
        <f t="shared" si="30"/>
        <v>345141</v>
      </c>
      <c r="I157"/>
      <c r="J157" s="231">
        <f t="shared" si="36"/>
        <v>-1.830321830485919E-2</v>
      </c>
      <c r="K157" s="231">
        <f t="shared" si="37"/>
        <v>-2.9409045932456971E-2</v>
      </c>
      <c r="L157" s="231">
        <f t="shared" si="38"/>
        <v>-3.9421290387727341E-3</v>
      </c>
      <c r="M157" s="231">
        <f t="shared" si="39"/>
        <v>6.9480545329505964E-3</v>
      </c>
      <c r="N157" s="231">
        <f t="shared" si="40"/>
        <v>-9.2542907645213873E-3</v>
      </c>
      <c r="O157" s="231"/>
    </row>
    <row r="158" spans="1:15">
      <c r="A158" t="s">
        <v>266</v>
      </c>
      <c r="B158" t="s">
        <v>245</v>
      </c>
      <c r="C158" s="623">
        <v>19609</v>
      </c>
      <c r="D158" s="623">
        <v>22093</v>
      </c>
      <c r="E158" s="623">
        <v>43961</v>
      </c>
      <c r="F158" s="623">
        <v>105813</v>
      </c>
      <c r="G158" s="623">
        <v>5185</v>
      </c>
      <c r="H158" s="16">
        <f t="shared" si="30"/>
        <v>196661</v>
      </c>
      <c r="I158"/>
      <c r="J158" s="231">
        <f t="shared" si="36"/>
        <v>1.7537845389242774E-3</v>
      </c>
      <c r="K158" s="231">
        <f t="shared" si="37"/>
        <v>-1.4858840472505925E-2</v>
      </c>
      <c r="L158" s="231">
        <f t="shared" si="38"/>
        <v>4.8804025646542104E-3</v>
      </c>
      <c r="M158" s="231">
        <f t="shared" si="39"/>
        <v>7.3970213833110948E-3</v>
      </c>
      <c r="N158" s="231">
        <f t="shared" si="40"/>
        <v>2.1001710647142662E-2</v>
      </c>
      <c r="O158" s="231"/>
    </row>
    <row r="159" spans="1:15">
      <c r="A159" t="s">
        <v>267</v>
      </c>
      <c r="B159" t="s">
        <v>246</v>
      </c>
      <c r="C159" s="623">
        <v>19469</v>
      </c>
      <c r="D159" s="623">
        <v>13308</v>
      </c>
      <c r="E159" s="623">
        <v>30764</v>
      </c>
      <c r="F159" s="623">
        <v>64004</v>
      </c>
      <c r="G159" s="623">
        <v>3705</v>
      </c>
      <c r="H159" s="16">
        <f t="shared" si="30"/>
        <v>131250</v>
      </c>
      <c r="I159"/>
      <c r="J159" s="231">
        <f t="shared" si="36"/>
        <v>-8.814783323515693E-3</v>
      </c>
      <c r="K159" s="231">
        <f t="shared" si="37"/>
        <v>-1.8504403588484628E-2</v>
      </c>
      <c r="L159" s="231">
        <f t="shared" si="38"/>
        <v>2.1958573394457079E-3</v>
      </c>
      <c r="M159" s="231">
        <f t="shared" si="39"/>
        <v>3.77591494787083E-3</v>
      </c>
      <c r="N159" s="231">
        <f t="shared" si="40"/>
        <v>-3.8222275958478499E-3</v>
      </c>
      <c r="O159" s="231"/>
    </row>
    <row r="160" spans="1:15">
      <c r="A160" t="s">
        <v>73</v>
      </c>
      <c r="B160" t="s">
        <v>74</v>
      </c>
      <c r="C160" s="623">
        <v>133883</v>
      </c>
      <c r="D160" s="623">
        <v>76442</v>
      </c>
      <c r="E160" s="623">
        <v>149948</v>
      </c>
      <c r="F160" s="623">
        <v>396266</v>
      </c>
      <c r="G160" s="623">
        <v>21886</v>
      </c>
      <c r="H160" s="16">
        <f t="shared" si="30"/>
        <v>778425</v>
      </c>
      <c r="I160"/>
      <c r="J160" s="231">
        <f t="shared" si="36"/>
        <v>-4.5714876771545945E-3</v>
      </c>
      <c r="K160" s="231">
        <f t="shared" si="37"/>
        <v>-1.0115049195759063E-2</v>
      </c>
      <c r="L160" s="231">
        <f t="shared" si="38"/>
        <v>5.2387875533809452E-3</v>
      </c>
      <c r="M160" s="231">
        <f t="shared" si="39"/>
        <v>1.4436328482150785E-2</v>
      </c>
      <c r="N160" s="231">
        <f t="shared" si="40"/>
        <v>9.8354061910264599E-3</v>
      </c>
      <c r="O160" s="231"/>
    </row>
    <row r="161" spans="1:15">
      <c r="A161" s="56" t="s">
        <v>69</v>
      </c>
      <c r="B161" t="s">
        <v>411</v>
      </c>
      <c r="C161" s="623">
        <v>32095</v>
      </c>
      <c r="D161" s="623">
        <v>20008</v>
      </c>
      <c r="E161" s="623">
        <v>44581</v>
      </c>
      <c r="F161" s="623">
        <v>159067</v>
      </c>
      <c r="G161" s="623">
        <v>10055</v>
      </c>
      <c r="H161" s="16">
        <f t="shared" si="30"/>
        <v>265806</v>
      </c>
      <c r="I161"/>
      <c r="J161" s="231">
        <f t="shared" si="36"/>
        <v>-1.1254629222470112E-3</v>
      </c>
      <c r="K161" s="231">
        <f t="shared" si="37"/>
        <v>1.2164916277856979E-3</v>
      </c>
      <c r="L161" s="231">
        <f t="shared" si="38"/>
        <v>6.0944352711767976E-3</v>
      </c>
      <c r="M161" s="231">
        <f t="shared" si="39"/>
        <v>1.8656542008719107E-2</v>
      </c>
      <c r="N161" s="231">
        <f t="shared" si="40"/>
        <v>8.8676317715391233E-3</v>
      </c>
      <c r="O161" s="231"/>
    </row>
    <row r="162" spans="1:15">
      <c r="A162" s="56" t="s">
        <v>1413</v>
      </c>
      <c r="B162" t="s">
        <v>1406</v>
      </c>
      <c r="C162" s="623">
        <v>255482</v>
      </c>
      <c r="D162" s="623">
        <v>132833</v>
      </c>
      <c r="E162" s="623">
        <v>253143</v>
      </c>
      <c r="F162" s="623">
        <v>656399</v>
      </c>
      <c r="G162" s="623">
        <v>38544</v>
      </c>
      <c r="H162" s="16">
        <f t="shared" si="30"/>
        <v>1336401</v>
      </c>
      <c r="I162"/>
      <c r="J162" s="231">
        <f t="shared" si="36"/>
        <v>-7.460364275145309E-3</v>
      </c>
      <c r="K162" s="231">
        <f t="shared" si="37"/>
        <v>-1.7202262981040786E-2</v>
      </c>
      <c r="L162" s="231">
        <f t="shared" si="38"/>
        <v>2.4275081286667948E-3</v>
      </c>
      <c r="M162" s="231">
        <f t="shared" si="39"/>
        <v>1.171496794847708E-2</v>
      </c>
      <c r="N162" s="231">
        <f t="shared" si="40"/>
        <v>7.9259134456405034E-3</v>
      </c>
      <c r="O162" s="231"/>
    </row>
    <row r="163" spans="1:15">
      <c r="A163" t="s">
        <v>436</v>
      </c>
      <c r="B163" t="s">
        <v>1141</v>
      </c>
      <c r="C163" s="623">
        <v>3195482</v>
      </c>
      <c r="D163" s="623">
        <v>1466253</v>
      </c>
      <c r="E163" s="623">
        <v>2937290</v>
      </c>
      <c r="F163" s="623">
        <v>9005290</v>
      </c>
      <c r="G163" s="623">
        <v>524277</v>
      </c>
      <c r="H163" s="16">
        <f t="shared" si="30"/>
        <v>17128592</v>
      </c>
      <c r="I163"/>
      <c r="J163" s="231">
        <f t="shared" si="36"/>
        <v>-1.0536168260421886E-2</v>
      </c>
      <c r="K163" s="231">
        <f t="shared" si="37"/>
        <v>-1.3815974364527198E-2</v>
      </c>
      <c r="L163" s="231">
        <f t="shared" si="38"/>
        <v>1.4515189459554593E-3</v>
      </c>
      <c r="M163" s="231">
        <f t="shared" si="39"/>
        <v>1.1366408077119115E-2</v>
      </c>
      <c r="N163" s="231">
        <f t="shared" si="40"/>
        <v>8.4744785294098182E-4</v>
      </c>
      <c r="O163" s="231"/>
    </row>
    <row r="214" spans="1:1">
      <c r="A214" s="56"/>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3:V6"/>
  <sheetViews>
    <sheetView topLeftCell="B1" workbookViewId="0">
      <selection activeCell="T8" sqref="T8"/>
    </sheetView>
  </sheetViews>
  <sheetFormatPr baseColWidth="10" defaultRowHeight="15"/>
  <cols>
    <col min="1" max="1" width="38.7109375" customWidth="1"/>
  </cols>
  <sheetData>
    <row r="3" spans="1:22">
      <c r="B3" t="s">
        <v>1493</v>
      </c>
      <c r="C3" t="s">
        <v>1492</v>
      </c>
      <c r="D3" t="s">
        <v>1494</v>
      </c>
      <c r="E3" t="s">
        <v>1495</v>
      </c>
      <c r="F3" t="s">
        <v>1496</v>
      </c>
      <c r="G3" t="s">
        <v>1497</v>
      </c>
      <c r="H3" t="s">
        <v>1498</v>
      </c>
      <c r="I3" t="s">
        <v>1499</v>
      </c>
      <c r="J3" t="s">
        <v>1500</v>
      </c>
      <c r="K3" t="s">
        <v>1501</v>
      </c>
      <c r="L3" t="s">
        <v>1502</v>
      </c>
      <c r="M3" t="s">
        <v>1503</v>
      </c>
      <c r="N3" t="s">
        <v>1504</v>
      </c>
      <c r="O3" t="s">
        <v>1505</v>
      </c>
      <c r="P3" t="s">
        <v>1506</v>
      </c>
      <c r="Q3" t="s">
        <v>1507</v>
      </c>
      <c r="R3" t="s">
        <v>1508</v>
      </c>
      <c r="S3" t="s">
        <v>1509</v>
      </c>
      <c r="T3" t="s">
        <v>1510</v>
      </c>
      <c r="U3" s="818" t="s">
        <v>1511</v>
      </c>
      <c r="V3" s="818" t="s">
        <v>1739</v>
      </c>
    </row>
    <row r="4" spans="1:22">
      <c r="A4" t="s">
        <v>1512</v>
      </c>
      <c r="B4">
        <v>272867</v>
      </c>
      <c r="C4">
        <v>274829</v>
      </c>
      <c r="D4">
        <v>274073</v>
      </c>
      <c r="E4">
        <v>275349</v>
      </c>
      <c r="F4">
        <v>272937</v>
      </c>
      <c r="G4">
        <v>277116</v>
      </c>
      <c r="H4">
        <v>276398</v>
      </c>
      <c r="I4">
        <v>277082</v>
      </c>
      <c r="J4">
        <v>275024</v>
      </c>
      <c r="K4">
        <v>277631</v>
      </c>
      <c r="L4">
        <v>277078</v>
      </c>
      <c r="M4">
        <v>278125</v>
      </c>
      <c r="N4">
        <v>276368</v>
      </c>
      <c r="O4">
        <v>280044</v>
      </c>
      <c r="P4">
        <v>281057</v>
      </c>
      <c r="Q4">
        <v>282794</v>
      </c>
      <c r="R4">
        <v>282839</v>
      </c>
      <c r="S4">
        <v>288383</v>
      </c>
      <c r="T4">
        <v>289028</v>
      </c>
      <c r="U4">
        <v>290367</v>
      </c>
      <c r="V4">
        <v>291738</v>
      </c>
    </row>
    <row r="5" spans="1:22">
      <c r="C5" t="s">
        <v>1492</v>
      </c>
      <c r="D5" t="s">
        <v>1494</v>
      </c>
      <c r="E5" t="s">
        <v>1495</v>
      </c>
      <c r="F5" t="s">
        <v>1496</v>
      </c>
      <c r="G5" t="s">
        <v>1497</v>
      </c>
      <c r="H5" t="s">
        <v>1498</v>
      </c>
      <c r="I5" t="s">
        <v>1499</v>
      </c>
      <c r="J5" t="s">
        <v>1500</v>
      </c>
      <c r="K5" t="s">
        <v>1501</v>
      </c>
      <c r="L5" t="s">
        <v>1502</v>
      </c>
      <c r="M5" t="s">
        <v>1503</v>
      </c>
      <c r="N5" t="s">
        <v>1504</v>
      </c>
      <c r="O5" t="s">
        <v>1505</v>
      </c>
      <c r="P5" t="s">
        <v>1506</v>
      </c>
      <c r="Q5" t="s">
        <v>1507</v>
      </c>
      <c r="R5" t="s">
        <v>1508</v>
      </c>
      <c r="S5" t="s">
        <v>1509</v>
      </c>
      <c r="T5" t="s">
        <v>1510</v>
      </c>
      <c r="U5" s="818" t="s">
        <v>1511</v>
      </c>
      <c r="V5" s="818" t="s">
        <v>1739</v>
      </c>
    </row>
    <row r="6" spans="1:22">
      <c r="A6" t="s">
        <v>1513</v>
      </c>
      <c r="C6">
        <f>C4-B4</f>
        <v>1962</v>
      </c>
      <c r="D6">
        <f t="shared" ref="D6:T6" si="0">D4-C4</f>
        <v>-756</v>
      </c>
      <c r="E6">
        <f t="shared" si="0"/>
        <v>1276</v>
      </c>
      <c r="F6">
        <f t="shared" si="0"/>
        <v>-2412</v>
      </c>
      <c r="G6">
        <f t="shared" si="0"/>
        <v>4179</v>
      </c>
      <c r="H6">
        <f t="shared" si="0"/>
        <v>-718</v>
      </c>
      <c r="I6">
        <f t="shared" si="0"/>
        <v>684</v>
      </c>
      <c r="J6">
        <f t="shared" si="0"/>
        <v>-2058</v>
      </c>
      <c r="K6">
        <f t="shared" si="0"/>
        <v>2607</v>
      </c>
      <c r="L6">
        <f t="shared" si="0"/>
        <v>-553</v>
      </c>
      <c r="M6">
        <f t="shared" si="0"/>
        <v>1047</v>
      </c>
      <c r="N6">
        <f t="shared" si="0"/>
        <v>-1757</v>
      </c>
      <c r="O6">
        <f t="shared" si="0"/>
        <v>3676</v>
      </c>
      <c r="P6">
        <f t="shared" si="0"/>
        <v>1013</v>
      </c>
      <c r="Q6">
        <f t="shared" si="0"/>
        <v>1737</v>
      </c>
      <c r="R6">
        <f t="shared" si="0"/>
        <v>45</v>
      </c>
      <c r="S6">
        <f t="shared" si="0"/>
        <v>5544</v>
      </c>
      <c r="T6">
        <f t="shared" si="0"/>
        <v>645</v>
      </c>
      <c r="U6" s="818">
        <f t="shared" ref="U6" si="1">U4-T4</f>
        <v>1339</v>
      </c>
      <c r="V6" s="818">
        <f t="shared" ref="V6" si="2">V4-U4</f>
        <v>1371</v>
      </c>
    </row>
  </sheetData>
  <pageMargins left="0.7" right="0.7" top="0.75" bottom="0.75" header="0.3" footer="0.3"/>
  <pageSetup paperSize="9" scale="4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V80"/>
  <sheetViews>
    <sheetView zoomScaleNormal="100" workbookViewId="0">
      <selection activeCell="J20" sqref="J20"/>
    </sheetView>
  </sheetViews>
  <sheetFormatPr baseColWidth="10" defaultRowHeight="15"/>
  <cols>
    <col min="1" max="1" width="26.28515625" style="16" customWidth="1"/>
    <col min="2" max="16384" width="11.42578125" style="16"/>
  </cols>
  <sheetData>
    <row r="2" spans="1:19" s="238" customFormat="1">
      <c r="A2" s="606" t="s">
        <v>1823</v>
      </c>
    </row>
    <row r="3" spans="1:19" ht="75">
      <c r="A3" s="919" t="s">
        <v>1795</v>
      </c>
      <c r="B3" s="55" t="s">
        <v>1419</v>
      </c>
      <c r="C3" s="55" t="s">
        <v>1420</v>
      </c>
      <c r="D3" s="55" t="s">
        <v>471</v>
      </c>
      <c r="E3" s="55" t="s">
        <v>472</v>
      </c>
      <c r="F3" s="55" t="s">
        <v>473</v>
      </c>
      <c r="G3" s="55" t="s">
        <v>844</v>
      </c>
      <c r="H3" s="16" t="s">
        <v>1421</v>
      </c>
      <c r="I3" s="55" t="s">
        <v>845</v>
      </c>
      <c r="J3" s="16" t="s">
        <v>846</v>
      </c>
      <c r="K3" s="16" t="s">
        <v>473</v>
      </c>
      <c r="L3" s="16" t="s">
        <v>1422</v>
      </c>
      <c r="Q3" s="160" t="s">
        <v>468</v>
      </c>
      <c r="R3" s="14" t="s">
        <v>474</v>
      </c>
    </row>
    <row r="4" spans="1:19">
      <c r="A4" t="s">
        <v>463</v>
      </c>
      <c r="B4" s="896">
        <v>12544</v>
      </c>
      <c r="C4" s="896">
        <v>12432</v>
      </c>
      <c r="D4" s="896">
        <v>5471</v>
      </c>
      <c r="E4" s="896">
        <v>468</v>
      </c>
      <c r="F4" s="896">
        <v>846</v>
      </c>
      <c r="G4">
        <f>SUM(B4:F4)</f>
        <v>31761</v>
      </c>
      <c r="H4" s="148">
        <f>B4/G4</f>
        <v>0.39494978117817447</v>
      </c>
      <c r="I4" s="148">
        <f>D4/G4</f>
        <v>0.17225528163470924</v>
      </c>
      <c r="J4" s="148">
        <f>E4/G4</f>
        <v>1.4735052422782658E-2</v>
      </c>
      <c r="K4" s="148">
        <f>F4/G4</f>
        <v>2.6636440918107112E-2</v>
      </c>
      <c r="L4" s="57">
        <f>C4/G4</f>
        <v>0.39142344384622652</v>
      </c>
      <c r="Q4" s="79" t="s">
        <v>463</v>
      </c>
      <c r="R4" s="16">
        <v>71</v>
      </c>
      <c r="S4" s="16">
        <f>M4-R4</f>
        <v>-71</v>
      </c>
    </row>
    <row r="5" spans="1:19">
      <c r="A5" t="s">
        <v>2</v>
      </c>
      <c r="B5" s="896">
        <v>13333</v>
      </c>
      <c r="C5" s="896">
        <v>12272</v>
      </c>
      <c r="D5" s="896">
        <v>5088</v>
      </c>
      <c r="E5" s="896">
        <v>364</v>
      </c>
      <c r="F5" s="896">
        <v>2131</v>
      </c>
      <c r="G5">
        <f t="shared" ref="G5:G15" si="0">SUM(B5:F5)</f>
        <v>33188</v>
      </c>
      <c r="H5" s="148">
        <f t="shared" ref="H5:H15" si="1">B5/G5</f>
        <v>0.40174159334699289</v>
      </c>
      <c r="I5" s="148">
        <f t="shared" ref="I5:I15" si="2">D5/G5</f>
        <v>0.15330842473183079</v>
      </c>
      <c r="J5" s="148">
        <f t="shared" ref="J5:J16" si="3">E5/G5</f>
        <v>1.0967819693865252E-2</v>
      </c>
      <c r="K5" s="148">
        <f t="shared" ref="K5:K16" si="4">F5/G5</f>
        <v>6.4209955405568273E-2</v>
      </c>
      <c r="L5" s="57">
        <f t="shared" ref="L5:L16" si="5">C5/G5</f>
        <v>0.36977220682174278</v>
      </c>
      <c r="Q5" s="79" t="s">
        <v>2</v>
      </c>
      <c r="R5" s="16">
        <v>128</v>
      </c>
      <c r="S5" s="16">
        <f t="shared" ref="S5:S15" si="6">M5-R5</f>
        <v>-128</v>
      </c>
    </row>
    <row r="6" spans="1:19">
      <c r="A6" t="s">
        <v>470</v>
      </c>
      <c r="B6" s="896">
        <v>10735</v>
      </c>
      <c r="C6" s="896">
        <v>11530</v>
      </c>
      <c r="D6" s="896">
        <v>5015</v>
      </c>
      <c r="E6" s="896">
        <v>308</v>
      </c>
      <c r="F6" s="896">
        <v>2</v>
      </c>
      <c r="G6">
        <f t="shared" si="0"/>
        <v>27590</v>
      </c>
      <c r="H6" s="148">
        <f t="shared" si="1"/>
        <v>0.38909025009061254</v>
      </c>
      <c r="I6" s="148">
        <f t="shared" si="2"/>
        <v>0.18176875679594057</v>
      </c>
      <c r="J6" s="148">
        <f t="shared" si="3"/>
        <v>1.1163465023559261E-2</v>
      </c>
      <c r="K6" s="148">
        <f t="shared" si="4"/>
        <v>7.249003262051468E-5</v>
      </c>
      <c r="L6" s="57">
        <f t="shared" si="5"/>
        <v>0.41790503805726714</v>
      </c>
      <c r="Q6" s="79" t="s">
        <v>470</v>
      </c>
      <c r="R6" s="16">
        <v>77</v>
      </c>
      <c r="S6" s="16">
        <f t="shared" si="6"/>
        <v>-77</v>
      </c>
    </row>
    <row r="7" spans="1:19">
      <c r="A7" t="s">
        <v>462</v>
      </c>
      <c r="B7" s="896">
        <v>22040</v>
      </c>
      <c r="C7" s="896">
        <v>11681</v>
      </c>
      <c r="D7" s="896">
        <v>6742</v>
      </c>
      <c r="E7" s="896">
        <v>587</v>
      </c>
      <c r="F7" s="896">
        <v>1947</v>
      </c>
      <c r="G7">
        <f t="shared" si="0"/>
        <v>42997</v>
      </c>
      <c r="H7" s="148">
        <f t="shared" si="1"/>
        <v>0.51259390190013254</v>
      </c>
      <c r="I7" s="148">
        <f t="shared" si="2"/>
        <v>0.15680163732353419</v>
      </c>
      <c r="J7" s="148">
        <f t="shared" si="3"/>
        <v>1.3652115263855617E-2</v>
      </c>
      <c r="K7" s="148">
        <f t="shared" si="4"/>
        <v>4.5282228992720421E-2</v>
      </c>
      <c r="L7" s="57">
        <f t="shared" si="5"/>
        <v>0.2716701165197572</v>
      </c>
      <c r="Q7" s="79" t="s">
        <v>462</v>
      </c>
      <c r="R7" s="16">
        <v>54</v>
      </c>
      <c r="S7" s="16">
        <f t="shared" si="6"/>
        <v>-54</v>
      </c>
    </row>
    <row r="8" spans="1:19">
      <c r="A8" t="s">
        <v>460</v>
      </c>
      <c r="B8" s="896">
        <v>15961</v>
      </c>
      <c r="C8" s="896">
        <v>23166</v>
      </c>
      <c r="D8" s="896">
        <v>11208</v>
      </c>
      <c r="E8" s="896">
        <v>869</v>
      </c>
      <c r="F8" s="896">
        <v>6923</v>
      </c>
      <c r="G8">
        <f t="shared" si="0"/>
        <v>58127</v>
      </c>
      <c r="H8" s="148">
        <f t="shared" si="1"/>
        <v>0.2745884012593115</v>
      </c>
      <c r="I8" s="148">
        <f t="shared" si="2"/>
        <v>0.19281917181344299</v>
      </c>
      <c r="J8" s="148">
        <f t="shared" si="3"/>
        <v>1.4950023225007311E-2</v>
      </c>
      <c r="K8" s="148">
        <f t="shared" si="4"/>
        <v>0.1191012782355876</v>
      </c>
      <c r="L8" s="57">
        <f t="shared" si="5"/>
        <v>0.3985411254666506</v>
      </c>
      <c r="Q8" s="79" t="s">
        <v>460</v>
      </c>
      <c r="R8" s="16">
        <v>180</v>
      </c>
      <c r="S8" s="16">
        <f t="shared" si="6"/>
        <v>-180</v>
      </c>
    </row>
    <row r="9" spans="1:19">
      <c r="A9" t="s">
        <v>464</v>
      </c>
      <c r="B9" s="896">
        <v>10631</v>
      </c>
      <c r="C9" s="896">
        <v>12683</v>
      </c>
      <c r="D9" s="896">
        <v>5769</v>
      </c>
      <c r="E9" s="896">
        <v>545</v>
      </c>
      <c r="F9" s="896">
        <v>393</v>
      </c>
      <c r="G9">
        <f t="shared" si="0"/>
        <v>30021</v>
      </c>
      <c r="H9" s="148">
        <f t="shared" si="1"/>
        <v>0.35411878351820392</v>
      </c>
      <c r="I9" s="148">
        <f t="shared" si="2"/>
        <v>0.19216548416108725</v>
      </c>
      <c r="J9" s="148">
        <f t="shared" si="3"/>
        <v>1.8153958895439859E-2</v>
      </c>
      <c r="K9" s="148">
        <f t="shared" si="4"/>
        <v>1.3090836414509843E-2</v>
      </c>
      <c r="L9" s="57">
        <f t="shared" si="5"/>
        <v>0.42247093701075916</v>
      </c>
      <c r="Q9" s="79" t="s">
        <v>464</v>
      </c>
      <c r="R9" s="16">
        <v>90</v>
      </c>
      <c r="S9" s="16">
        <f t="shared" si="6"/>
        <v>-90</v>
      </c>
    </row>
    <row r="10" spans="1:19">
      <c r="A10" t="s">
        <v>466</v>
      </c>
      <c r="B10" s="896">
        <v>12770</v>
      </c>
      <c r="C10" s="896">
        <v>10464</v>
      </c>
      <c r="D10" s="896">
        <v>4361</v>
      </c>
      <c r="E10" s="896">
        <v>691</v>
      </c>
      <c r="F10" s="896">
        <v>1453</v>
      </c>
      <c r="G10">
        <f t="shared" si="0"/>
        <v>29739</v>
      </c>
      <c r="H10" s="148">
        <f t="shared" si="1"/>
        <v>0.42940246813948013</v>
      </c>
      <c r="I10" s="148">
        <f t="shared" si="2"/>
        <v>0.1466424560341639</v>
      </c>
      <c r="J10" s="148">
        <f>E10/G10</f>
        <v>2.3235482026967954E-2</v>
      </c>
      <c r="K10" s="148">
        <f t="shared" si="4"/>
        <v>4.8858401425737247E-2</v>
      </c>
      <c r="L10" s="57">
        <f t="shared" si="5"/>
        <v>0.35186119237365077</v>
      </c>
      <c r="Q10" s="79" t="s">
        <v>466</v>
      </c>
      <c r="R10" s="16">
        <v>129</v>
      </c>
      <c r="S10" s="16">
        <f t="shared" si="6"/>
        <v>-129</v>
      </c>
    </row>
    <row r="11" spans="1:19">
      <c r="A11" t="s">
        <v>467</v>
      </c>
      <c r="B11" s="896">
        <v>6309</v>
      </c>
      <c r="C11" s="896">
        <v>4047</v>
      </c>
      <c r="D11" s="896">
        <v>3797</v>
      </c>
      <c r="E11" s="896">
        <v>233</v>
      </c>
      <c r="F11" s="896">
        <v>3</v>
      </c>
      <c r="G11">
        <f t="shared" si="0"/>
        <v>14389</v>
      </c>
      <c r="H11" s="148">
        <f t="shared" si="1"/>
        <v>0.43845993467231914</v>
      </c>
      <c r="I11" s="148">
        <f t="shared" si="2"/>
        <v>0.26388213218430745</v>
      </c>
      <c r="J11" s="148">
        <f t="shared" si="3"/>
        <v>1.6192925151157132E-2</v>
      </c>
      <c r="K11" s="148">
        <f t="shared" si="4"/>
        <v>2.084925985127528E-4</v>
      </c>
      <c r="L11" s="57">
        <f t="shared" si="5"/>
        <v>0.2812565153937035</v>
      </c>
      <c r="Q11" s="79" t="s">
        <v>467</v>
      </c>
      <c r="R11" s="16">
        <v>40</v>
      </c>
      <c r="S11" s="16">
        <f t="shared" si="6"/>
        <v>-40</v>
      </c>
    </row>
    <row r="12" spans="1:19">
      <c r="A12" t="s">
        <v>469</v>
      </c>
      <c r="B12" s="896">
        <v>14645</v>
      </c>
      <c r="C12" s="896">
        <v>10762</v>
      </c>
      <c r="D12" s="896">
        <v>4865</v>
      </c>
      <c r="E12" s="896">
        <v>253</v>
      </c>
      <c r="F12" s="896">
        <v>2753</v>
      </c>
      <c r="G12">
        <f t="shared" si="0"/>
        <v>33278</v>
      </c>
      <c r="H12" s="148">
        <f t="shared" si="1"/>
        <v>0.44008053368591865</v>
      </c>
      <c r="I12" s="148">
        <f t="shared" si="2"/>
        <v>0.14619267984854858</v>
      </c>
      <c r="J12" s="148">
        <f t="shared" si="3"/>
        <v>7.6026203497806359E-3</v>
      </c>
      <c r="K12" s="148">
        <f t="shared" si="4"/>
        <v>8.2727327363423281E-2</v>
      </c>
      <c r="L12" s="57">
        <f t="shared" si="5"/>
        <v>0.32339683875232889</v>
      </c>
      <c r="Q12" s="79" t="s">
        <v>469</v>
      </c>
      <c r="R12" s="16">
        <v>70</v>
      </c>
      <c r="S12" s="16">
        <f t="shared" si="6"/>
        <v>-70</v>
      </c>
    </row>
    <row r="13" spans="1:19">
      <c r="A13" t="s">
        <v>110</v>
      </c>
      <c r="B13" s="896">
        <v>6762</v>
      </c>
      <c r="C13" s="896">
        <v>3079</v>
      </c>
      <c r="D13" s="896">
        <v>2518</v>
      </c>
      <c r="E13" s="896">
        <v>124</v>
      </c>
      <c r="F13" s="896">
        <v>1561</v>
      </c>
      <c r="G13">
        <f t="shared" si="0"/>
        <v>14044</v>
      </c>
      <c r="H13" s="148">
        <f t="shared" si="1"/>
        <v>0.48148675590999718</v>
      </c>
      <c r="I13" s="148">
        <f t="shared" si="2"/>
        <v>0.17929364853318144</v>
      </c>
      <c r="J13" s="148">
        <f t="shared" si="3"/>
        <v>8.8293933352321281E-3</v>
      </c>
      <c r="K13" s="148">
        <f t="shared" si="4"/>
        <v>0.11115066932497863</v>
      </c>
      <c r="L13" s="57">
        <f t="shared" si="5"/>
        <v>0.21923953289661066</v>
      </c>
      <c r="Q13" s="79" t="s">
        <v>110</v>
      </c>
      <c r="R13" s="16">
        <v>22</v>
      </c>
      <c r="S13" s="16">
        <f t="shared" si="6"/>
        <v>-22</v>
      </c>
    </row>
    <row r="14" spans="1:19">
      <c r="A14" t="s">
        <v>465</v>
      </c>
      <c r="B14" s="896">
        <v>9849</v>
      </c>
      <c r="C14" s="896">
        <v>9833</v>
      </c>
      <c r="D14" s="896">
        <v>5520</v>
      </c>
      <c r="E14" s="896">
        <v>419</v>
      </c>
      <c r="F14" s="896">
        <v>1743</v>
      </c>
      <c r="G14">
        <f t="shared" si="0"/>
        <v>27364</v>
      </c>
      <c r="H14" s="148">
        <f t="shared" si="1"/>
        <v>0.35992544949568778</v>
      </c>
      <c r="I14" s="148">
        <f t="shared" si="2"/>
        <v>0.20172489402134192</v>
      </c>
      <c r="J14" s="148">
        <f t="shared" si="3"/>
        <v>1.5312088875895337E-2</v>
      </c>
      <c r="K14" s="148">
        <f t="shared" si="4"/>
        <v>6.3696827949130244E-2</v>
      </c>
      <c r="L14" s="57">
        <f t="shared" si="5"/>
        <v>0.35934073965794472</v>
      </c>
      <c r="Q14" s="79" t="s">
        <v>465</v>
      </c>
      <c r="R14" s="16">
        <v>121</v>
      </c>
      <c r="S14" s="16">
        <f t="shared" si="6"/>
        <v>-121</v>
      </c>
    </row>
    <row r="15" spans="1:19">
      <c r="A15" t="s">
        <v>461</v>
      </c>
      <c r="B15" s="896">
        <v>13649</v>
      </c>
      <c r="C15" s="896">
        <v>14735</v>
      </c>
      <c r="D15" s="896">
        <v>5848</v>
      </c>
      <c r="E15" s="896">
        <v>476</v>
      </c>
      <c r="F15" s="896">
        <v>3291</v>
      </c>
      <c r="G15">
        <f t="shared" si="0"/>
        <v>37999</v>
      </c>
      <c r="H15" s="148">
        <f t="shared" si="1"/>
        <v>0.35919366299113137</v>
      </c>
      <c r="I15" s="148">
        <f t="shared" si="2"/>
        <v>0.15389878681017921</v>
      </c>
      <c r="J15" s="148">
        <f t="shared" si="3"/>
        <v>1.2526645438037843E-2</v>
      </c>
      <c r="K15" s="148">
        <f t="shared" si="4"/>
        <v>8.6607542303744831E-2</v>
      </c>
      <c r="L15" s="57">
        <f t="shared" si="5"/>
        <v>0.38777336245690674</v>
      </c>
      <c r="Q15" s="79" t="s">
        <v>461</v>
      </c>
      <c r="R15" s="16">
        <v>106</v>
      </c>
      <c r="S15" s="16">
        <f t="shared" si="6"/>
        <v>-106</v>
      </c>
    </row>
    <row r="16" spans="1:19">
      <c r="A16" t="s">
        <v>1141</v>
      </c>
      <c r="B16" s="896">
        <v>249616</v>
      </c>
      <c r="C16" s="896">
        <v>274669</v>
      </c>
      <c r="D16" s="896">
        <v>134917</v>
      </c>
      <c r="E16" s="896">
        <v>11909</v>
      </c>
      <c r="F16" s="896">
        <v>42444</v>
      </c>
      <c r="G16">
        <f>SUM(B16:F16)</f>
        <v>713555</v>
      </c>
      <c r="H16" s="148">
        <f>B16/G16</f>
        <v>0.34982026613225331</v>
      </c>
      <c r="I16" s="148">
        <f>D16/G16</f>
        <v>0.18907722600220025</v>
      </c>
      <c r="J16" s="148">
        <f t="shared" si="3"/>
        <v>1.6689673536027357E-2</v>
      </c>
      <c r="K16" s="148">
        <f t="shared" si="4"/>
        <v>5.9482450546909489E-2</v>
      </c>
      <c r="L16" s="57">
        <f t="shared" si="5"/>
        <v>0.38493038378260963</v>
      </c>
    </row>
    <row r="17" spans="1:22" s="55" customFormat="1">
      <c r="Q17" s="159"/>
    </row>
    <row r="18" spans="1:22" s="55" customFormat="1" ht="60">
      <c r="A18" s="915" t="s">
        <v>1816</v>
      </c>
      <c r="B18" s="914" t="s">
        <v>1814</v>
      </c>
      <c r="C18" s="914" t="s">
        <v>1815</v>
      </c>
      <c r="D18" s="914" t="s">
        <v>1806</v>
      </c>
      <c r="E18" s="914" t="s">
        <v>1807</v>
      </c>
      <c r="F18" s="914" t="s">
        <v>1808</v>
      </c>
      <c r="G18" s="914" t="s">
        <v>1809</v>
      </c>
      <c r="H18" s="914" t="s">
        <v>1810</v>
      </c>
      <c r="I18" s="915" t="s">
        <v>1811</v>
      </c>
      <c r="J18" s="914" t="s">
        <v>1812</v>
      </c>
      <c r="L18" s="1091" t="s">
        <v>1817</v>
      </c>
      <c r="M18" s="1091"/>
      <c r="N18" s="1091"/>
      <c r="O18" s="1091"/>
      <c r="P18" s="1091"/>
      <c r="Q18" s="684"/>
    </row>
    <row r="19" spans="1:22" customFormat="1" ht="15" customHeight="1">
      <c r="A19" s="896" t="s">
        <v>463</v>
      </c>
      <c r="B19" s="896">
        <v>73357</v>
      </c>
      <c r="C19" s="896">
        <v>4257</v>
      </c>
      <c r="D19" s="896">
        <v>11458</v>
      </c>
      <c r="E19" s="896">
        <v>3430</v>
      </c>
      <c r="F19" s="896">
        <v>3322</v>
      </c>
      <c r="G19" s="896">
        <v>5501</v>
      </c>
      <c r="H19" s="896">
        <v>11572</v>
      </c>
      <c r="I19" s="916">
        <v>107559</v>
      </c>
      <c r="J19" s="896">
        <v>7.4383315822323937E-3</v>
      </c>
      <c r="L19" s="1091" t="s">
        <v>1818</v>
      </c>
      <c r="M19" s="1091"/>
      <c r="N19" s="1091"/>
      <c r="O19" s="1091"/>
      <c r="P19" s="1091"/>
      <c r="Q19" s="685"/>
      <c r="S19" s="1088" t="s">
        <v>1315</v>
      </c>
      <c r="T19" s="1088"/>
      <c r="U19" s="1088"/>
      <c r="V19" s="1088"/>
    </row>
    <row r="20" spans="1:22" customFormat="1">
      <c r="A20" s="896" t="s">
        <v>2</v>
      </c>
      <c r="B20" s="896">
        <v>78512</v>
      </c>
      <c r="C20" s="896">
        <v>5137</v>
      </c>
      <c r="D20" s="896">
        <v>12255</v>
      </c>
      <c r="E20" s="896">
        <v>3298</v>
      </c>
      <c r="F20" s="896">
        <v>4810</v>
      </c>
      <c r="G20" s="896">
        <v>12996</v>
      </c>
      <c r="H20" s="896">
        <v>13513</v>
      </c>
      <c r="I20" s="916">
        <v>124894</v>
      </c>
      <c r="J20" s="896">
        <v>2.9892223074322377</v>
      </c>
      <c r="L20" s="1091"/>
      <c r="M20" s="1091"/>
      <c r="N20" s="1091"/>
      <c r="O20" s="1091"/>
      <c r="P20" s="1091"/>
      <c r="Q20" s="685"/>
      <c r="S20" s="1088"/>
      <c r="T20" s="1088"/>
      <c r="U20" s="1088"/>
      <c r="V20" s="1088"/>
    </row>
    <row r="21" spans="1:22" customFormat="1">
      <c r="A21" s="896" t="s">
        <v>470</v>
      </c>
      <c r="B21" s="896">
        <v>60870</v>
      </c>
      <c r="C21" s="896">
        <v>7212</v>
      </c>
      <c r="D21" s="896">
        <v>10827</v>
      </c>
      <c r="E21" s="896">
        <v>2587</v>
      </c>
      <c r="F21" s="896">
        <v>5954</v>
      </c>
      <c r="G21" s="896">
        <v>5622</v>
      </c>
      <c r="H21" s="896">
        <v>8457</v>
      </c>
      <c r="I21" s="916">
        <v>92775</v>
      </c>
      <c r="J21" s="896">
        <v>1.3380666302566846</v>
      </c>
      <c r="L21" s="1093" t="s">
        <v>1819</v>
      </c>
      <c r="M21" s="1093"/>
      <c r="N21" s="1093"/>
      <c r="O21" s="1093"/>
      <c r="P21" s="1093"/>
      <c r="Q21" s="685"/>
      <c r="S21" s="1088"/>
      <c r="T21" s="1088"/>
      <c r="U21" s="1088"/>
      <c r="V21" s="1088"/>
    </row>
    <row r="22" spans="1:22" customFormat="1" ht="15" customHeight="1">
      <c r="A22" s="896" t="s">
        <v>462</v>
      </c>
      <c r="B22" s="896">
        <v>105192</v>
      </c>
      <c r="C22" s="896">
        <v>7344</v>
      </c>
      <c r="D22" s="896">
        <v>19529</v>
      </c>
      <c r="E22" s="896">
        <v>5502</v>
      </c>
      <c r="F22" s="896">
        <v>10564</v>
      </c>
      <c r="G22" s="896">
        <v>12685</v>
      </c>
      <c r="H22" s="896">
        <v>25945</v>
      </c>
      <c r="I22" s="916">
        <v>176492</v>
      </c>
      <c r="J22" s="896">
        <v>2.5824038500659618</v>
      </c>
      <c r="L22" s="1093"/>
      <c r="M22" s="1093"/>
      <c r="N22" s="1093"/>
      <c r="O22" s="1093"/>
      <c r="P22" s="1093"/>
      <c r="Q22" s="685"/>
    </row>
    <row r="23" spans="1:22" customFormat="1">
      <c r="A23" s="896" t="s">
        <v>460</v>
      </c>
      <c r="B23" s="896">
        <v>118644</v>
      </c>
      <c r="C23" s="896">
        <v>7420</v>
      </c>
      <c r="D23" s="896">
        <v>12836</v>
      </c>
      <c r="E23" s="896">
        <v>6196</v>
      </c>
      <c r="F23" s="896">
        <v>14504</v>
      </c>
      <c r="G23" s="896">
        <v>12154</v>
      </c>
      <c r="H23" s="896">
        <v>29107</v>
      </c>
      <c r="I23" s="916">
        <v>192327</v>
      </c>
      <c r="J23" s="896">
        <v>3.4756035229491999</v>
      </c>
      <c r="L23" s="16"/>
      <c r="M23" s="16"/>
      <c r="N23" s="16"/>
      <c r="O23" s="16"/>
      <c r="P23" s="16"/>
      <c r="Q23" s="685"/>
    </row>
    <row r="24" spans="1:22" customFormat="1">
      <c r="A24" s="896" t="s">
        <v>464</v>
      </c>
      <c r="B24" s="896">
        <v>76432</v>
      </c>
      <c r="C24" s="896">
        <v>3953</v>
      </c>
      <c r="D24" s="896">
        <v>11472</v>
      </c>
      <c r="E24" s="896">
        <v>2737</v>
      </c>
      <c r="F24" s="896">
        <v>3358</v>
      </c>
      <c r="G24" s="896">
        <v>4837</v>
      </c>
      <c r="H24" s="896">
        <v>11816</v>
      </c>
      <c r="I24" s="916">
        <v>109651</v>
      </c>
      <c r="J24" s="896">
        <v>1.8313691620464478</v>
      </c>
      <c r="L24" s="917"/>
      <c r="M24" s="917"/>
      <c r="N24" s="917"/>
      <c r="O24" s="917"/>
      <c r="P24" s="917"/>
      <c r="Q24" s="685"/>
    </row>
    <row r="25" spans="1:22" customFormat="1">
      <c r="A25" s="896" t="s">
        <v>466</v>
      </c>
      <c r="B25" s="896">
        <v>73689</v>
      </c>
      <c r="C25" s="896">
        <v>5730</v>
      </c>
      <c r="D25" s="896">
        <v>16752</v>
      </c>
      <c r="E25" s="896">
        <v>4160</v>
      </c>
      <c r="F25" s="896">
        <v>9881</v>
      </c>
      <c r="G25" s="896">
        <v>6482</v>
      </c>
      <c r="H25" s="896">
        <v>22794</v>
      </c>
      <c r="I25" s="916">
        <v>131978</v>
      </c>
      <c r="J25" s="896">
        <v>3.7416088918234891</v>
      </c>
      <c r="L25" s="1092" t="s">
        <v>1820</v>
      </c>
      <c r="M25" s="1092"/>
      <c r="N25" s="1092"/>
      <c r="O25" s="1092"/>
      <c r="P25" s="1092"/>
      <c r="Q25" s="685"/>
    </row>
    <row r="26" spans="1:22" customFormat="1">
      <c r="A26" s="896" t="s">
        <v>469</v>
      </c>
      <c r="B26" s="896">
        <v>81166</v>
      </c>
      <c r="C26" s="896">
        <v>6635</v>
      </c>
      <c r="D26" s="896">
        <v>15261</v>
      </c>
      <c r="E26" s="896">
        <v>4319</v>
      </c>
      <c r="F26" s="896">
        <v>8654</v>
      </c>
      <c r="G26" s="896">
        <v>4376</v>
      </c>
      <c r="H26" s="896">
        <v>14303</v>
      </c>
      <c r="I26" s="916">
        <v>126860</v>
      </c>
      <c r="J26" s="896">
        <v>1.4157919561272436</v>
      </c>
      <c r="L26" s="1092"/>
      <c r="M26" s="1092"/>
      <c r="N26" s="1092"/>
      <c r="O26" s="1092"/>
      <c r="P26" s="1092"/>
      <c r="Q26" s="685"/>
    </row>
    <row r="27" spans="1:22" customFormat="1">
      <c r="A27" s="896" t="s">
        <v>110</v>
      </c>
      <c r="B27" s="896">
        <v>37643</v>
      </c>
      <c r="C27" s="896">
        <v>4059</v>
      </c>
      <c r="D27" s="896">
        <v>6616</v>
      </c>
      <c r="E27" s="896">
        <v>1465</v>
      </c>
      <c r="F27" s="896">
        <v>4241</v>
      </c>
      <c r="G27" s="896">
        <v>5920</v>
      </c>
      <c r="H27" s="896">
        <v>6368</v>
      </c>
      <c r="I27" s="916">
        <v>61674</v>
      </c>
      <c r="J27" s="896">
        <v>1.9438659129227487</v>
      </c>
      <c r="Q27" s="685"/>
    </row>
    <row r="28" spans="1:22" customFormat="1">
      <c r="A28" s="896" t="s">
        <v>467</v>
      </c>
      <c r="B28" s="896">
        <v>39657</v>
      </c>
      <c r="C28" s="896">
        <v>3551</v>
      </c>
      <c r="D28" s="896">
        <v>6515</v>
      </c>
      <c r="E28" s="896">
        <v>2573</v>
      </c>
      <c r="F28" s="896">
        <v>1991</v>
      </c>
      <c r="G28" s="896">
        <v>5611</v>
      </c>
      <c r="H28" s="896">
        <v>5888</v>
      </c>
      <c r="I28" s="916">
        <v>61000</v>
      </c>
      <c r="J28" s="896">
        <v>1.9811084176210025</v>
      </c>
      <c r="L28" s="912" t="s">
        <v>1821</v>
      </c>
      <c r="M28" s="912"/>
      <c r="N28" s="912"/>
      <c r="O28" s="867"/>
      <c r="P28" s="918" t="s">
        <v>1822</v>
      </c>
      <c r="Q28" s="685"/>
    </row>
    <row r="29" spans="1:22" customFormat="1">
      <c r="A29" s="896" t="s">
        <v>465</v>
      </c>
      <c r="B29" s="896">
        <v>58450</v>
      </c>
      <c r="C29" s="896">
        <v>3858</v>
      </c>
      <c r="D29" s="896">
        <v>6790</v>
      </c>
      <c r="E29" s="896">
        <v>2533</v>
      </c>
      <c r="F29" s="896">
        <v>4222</v>
      </c>
      <c r="G29" s="896">
        <v>178</v>
      </c>
      <c r="H29" s="896">
        <v>7756</v>
      </c>
      <c r="I29" s="916">
        <v>78131</v>
      </c>
      <c r="J29" s="896">
        <v>3.8865546218487479</v>
      </c>
      <c r="Q29" s="685"/>
    </row>
    <row r="30" spans="1:22">
      <c r="A30" s="896" t="s">
        <v>461</v>
      </c>
      <c r="B30" s="896">
        <v>86009</v>
      </c>
      <c r="C30" s="896">
        <v>6696</v>
      </c>
      <c r="D30" s="896">
        <v>12762</v>
      </c>
      <c r="E30" s="896">
        <v>4184</v>
      </c>
      <c r="F30" s="896">
        <v>10698</v>
      </c>
      <c r="G30" s="896">
        <v>6197</v>
      </c>
      <c r="H30" s="896">
        <v>15742</v>
      </c>
      <c r="I30" s="916">
        <v>135230</v>
      </c>
      <c r="J30" s="896">
        <v>1.8919672390539377</v>
      </c>
      <c r="Q30" s="685"/>
    </row>
    <row r="31" spans="1:22">
      <c r="A31" s="896" t="s">
        <v>1813</v>
      </c>
      <c r="B31" s="896">
        <v>1593512</v>
      </c>
      <c r="C31" s="896">
        <v>115416</v>
      </c>
      <c r="D31" s="896">
        <v>248131</v>
      </c>
      <c r="E31" s="896">
        <v>84827</v>
      </c>
      <c r="F31" s="896">
        <v>152364</v>
      </c>
      <c r="G31" s="896">
        <v>151715</v>
      </c>
      <c r="H31" s="896">
        <v>363572</v>
      </c>
      <c r="I31" s="916">
        <v>2564539</v>
      </c>
      <c r="J31" s="896">
        <v>2.3134169967349516</v>
      </c>
    </row>
    <row r="32" spans="1:22">
      <c r="C32" s="16">
        <v>2015</v>
      </c>
      <c r="D32" s="16">
        <v>2016</v>
      </c>
      <c r="M32" s="237" t="s">
        <v>1658</v>
      </c>
    </row>
    <row r="33" spans="1:22">
      <c r="A33" s="16" t="s">
        <v>273</v>
      </c>
      <c r="B33" s="16" t="s">
        <v>825</v>
      </c>
      <c r="C33" s="16" t="s">
        <v>826</v>
      </c>
      <c r="D33" s="16" t="s">
        <v>827</v>
      </c>
      <c r="E33" s="16" t="s">
        <v>843</v>
      </c>
      <c r="F33" s="16" t="s">
        <v>841</v>
      </c>
      <c r="G33" s="16" t="s">
        <v>842</v>
      </c>
      <c r="H33" s="16" t="s">
        <v>824</v>
      </c>
      <c r="S33" s="1088" t="s">
        <v>1316</v>
      </c>
      <c r="T33" s="1088"/>
      <c r="U33" s="1088"/>
      <c r="V33" s="1088"/>
    </row>
    <row r="34" spans="1:22">
      <c r="A34" s="16" t="s">
        <v>506</v>
      </c>
      <c r="B34" t="s">
        <v>465</v>
      </c>
      <c r="C34" s="16">
        <v>75192</v>
      </c>
      <c r="D34" s="896">
        <f>I29</f>
        <v>78131</v>
      </c>
      <c r="E34" s="16">
        <f>RANK(G34,$G$34:$G$45)</f>
        <v>4</v>
      </c>
      <c r="F34" s="610">
        <v>1872949</v>
      </c>
      <c r="G34" s="148">
        <f>D34/F34</f>
        <v>4.1715497859258314E-2</v>
      </c>
      <c r="H34" s="148">
        <f>(D34-C34)/C34</f>
        <v>3.9086604957974252E-2</v>
      </c>
      <c r="J34" s="233"/>
      <c r="L34" s="612"/>
      <c r="M34" t="s">
        <v>1304</v>
      </c>
      <c r="N34"/>
      <c r="O34" s="16" t="s">
        <v>1659</v>
      </c>
      <c r="S34" s="1088"/>
      <c r="T34" s="1088"/>
      <c r="U34" s="1088"/>
      <c r="V34" s="1088"/>
    </row>
    <row r="35" spans="1:22">
      <c r="A35" s="16" t="s">
        <v>74</v>
      </c>
      <c r="B35" t="s">
        <v>2</v>
      </c>
      <c r="C35" s="16">
        <v>121428</v>
      </c>
      <c r="D35" s="896">
        <f>I20</f>
        <v>124894</v>
      </c>
      <c r="E35" s="16">
        <f t="shared" ref="E35:E45" si="7">RANK(G35,$G$34:$G$45)</f>
        <v>8</v>
      </c>
      <c r="F35" s="610">
        <v>3343326</v>
      </c>
      <c r="G35" s="148">
        <f t="shared" ref="G35:G46" si="8">D35/F35</f>
        <v>3.7356213543040674E-2</v>
      </c>
      <c r="H35" s="148">
        <f t="shared" ref="H35:H46" si="9">(D35-C35)/C35</f>
        <v>2.8543663734888165E-2</v>
      </c>
      <c r="J35" s="233"/>
      <c r="L35" s="612"/>
      <c r="M35" t="s">
        <v>1305</v>
      </c>
      <c r="N35"/>
      <c r="O35" s="16">
        <v>2006069</v>
      </c>
      <c r="S35" s="1088"/>
      <c r="T35" s="1088"/>
      <c r="U35" s="1088"/>
      <c r="V35" s="1088"/>
    </row>
    <row r="36" spans="1:22">
      <c r="A36" s="16" t="s">
        <v>508</v>
      </c>
      <c r="B36" t="s">
        <v>469</v>
      </c>
      <c r="C36" s="16">
        <v>125100</v>
      </c>
      <c r="D36" s="896">
        <f>I26</f>
        <v>126860</v>
      </c>
      <c r="E36" s="16">
        <f t="shared" si="7"/>
        <v>6</v>
      </c>
      <c r="F36" s="610">
        <v>3276543</v>
      </c>
      <c r="G36" s="148">
        <f t="shared" si="8"/>
        <v>3.8717636240391165E-2</v>
      </c>
      <c r="H36" s="148">
        <f t="shared" si="9"/>
        <v>1.4068745003996802E-2</v>
      </c>
      <c r="J36" s="233"/>
      <c r="L36" s="613"/>
      <c r="M36" t="s">
        <v>1306</v>
      </c>
      <c r="N36"/>
      <c r="O36" s="16">
        <v>161587.99999999991</v>
      </c>
    </row>
    <row r="37" spans="1:22">
      <c r="A37" s="16" t="s">
        <v>763</v>
      </c>
      <c r="B37" t="s">
        <v>110</v>
      </c>
      <c r="C37" s="16">
        <v>60385</v>
      </c>
      <c r="D37" s="896">
        <f>I28</f>
        <v>61000</v>
      </c>
      <c r="E37" s="16">
        <f t="shared" si="7"/>
        <v>10</v>
      </c>
      <c r="F37" s="610">
        <v>1856267</v>
      </c>
      <c r="G37" s="148">
        <f t="shared" si="8"/>
        <v>3.2861651906756946E-2</v>
      </c>
      <c r="H37" s="148">
        <f t="shared" si="9"/>
        <v>1.0184648505423532E-2</v>
      </c>
      <c r="J37" s="233"/>
      <c r="M37" t="s">
        <v>1307</v>
      </c>
      <c r="N37"/>
      <c r="O37" s="16">
        <v>139883</v>
      </c>
    </row>
    <row r="38" spans="1:22">
      <c r="A38" s="16" t="s">
        <v>287</v>
      </c>
      <c r="B38" t="s">
        <v>464</v>
      </c>
      <c r="C38" s="16">
        <v>107576</v>
      </c>
      <c r="D38" s="896">
        <f>I24</f>
        <v>109651</v>
      </c>
      <c r="E38" s="16">
        <f t="shared" si="7"/>
        <v>5</v>
      </c>
      <c r="F38" s="610">
        <v>2751592</v>
      </c>
      <c r="G38" s="148">
        <f t="shared" si="8"/>
        <v>3.9850021369447215E-2</v>
      </c>
      <c r="H38" s="148">
        <f t="shared" si="9"/>
        <v>1.9288688926898192E-2</v>
      </c>
      <c r="J38" s="233"/>
      <c r="M38" t="s">
        <v>1308</v>
      </c>
      <c r="N38"/>
      <c r="O38" s="16">
        <v>554374</v>
      </c>
    </row>
    <row r="39" spans="1:22">
      <c r="A39" s="16" t="s">
        <v>509</v>
      </c>
      <c r="B39" t="s">
        <v>461</v>
      </c>
      <c r="C39" s="16">
        <v>132909</v>
      </c>
      <c r="D39" s="896">
        <f>I30</f>
        <v>135230</v>
      </c>
      <c r="E39" s="16">
        <f t="shared" si="7"/>
        <v>2</v>
      </c>
      <c r="F39" s="610">
        <v>2979161</v>
      </c>
      <c r="G39" s="148">
        <f>D39/F39</f>
        <v>4.5391974451867489E-2</v>
      </c>
      <c r="H39" s="148">
        <f>(D39-C39)/C39</f>
        <v>1.7463076240134226E-2</v>
      </c>
      <c r="J39" s="233"/>
      <c r="M39"/>
      <c r="N39"/>
      <c r="O39" s="16">
        <f>SUM(O35:O38)</f>
        <v>2861914</v>
      </c>
    </row>
    <row r="40" spans="1:22">
      <c r="A40" s="16" t="s">
        <v>293</v>
      </c>
      <c r="B40" t="s">
        <v>462</v>
      </c>
      <c r="C40" s="16">
        <v>171764</v>
      </c>
      <c r="D40" s="896">
        <f>I22</f>
        <v>176492</v>
      </c>
      <c r="E40" s="16">
        <f t="shared" si="7"/>
        <v>3</v>
      </c>
      <c r="F40" s="610">
        <v>4076061</v>
      </c>
      <c r="G40" s="148">
        <f t="shared" si="8"/>
        <v>4.3299646398814937E-2</v>
      </c>
      <c r="H40" s="148">
        <f t="shared" si="9"/>
        <v>2.7526140518385693E-2</v>
      </c>
      <c r="J40" s="233"/>
      <c r="L40" s="613"/>
      <c r="M40" t="s">
        <v>1309</v>
      </c>
      <c r="N40"/>
      <c r="O40" s="16" t="s">
        <v>1659</v>
      </c>
    </row>
    <row r="41" spans="1:22">
      <c r="A41" s="16" t="s">
        <v>510</v>
      </c>
      <c r="B41" t="s">
        <v>466</v>
      </c>
      <c r="C41" s="16">
        <v>127159</v>
      </c>
      <c r="D41" s="896">
        <f>I25</f>
        <v>131978</v>
      </c>
      <c r="E41" s="16">
        <f t="shared" si="7"/>
        <v>9</v>
      </c>
      <c r="F41" s="610">
        <v>3690833</v>
      </c>
      <c r="G41" s="148">
        <f t="shared" si="8"/>
        <v>3.5758323392036433E-2</v>
      </c>
      <c r="H41" s="148">
        <f t="shared" si="9"/>
        <v>3.7897435494145128E-2</v>
      </c>
      <c r="J41" s="233"/>
      <c r="M41" t="s">
        <v>1310</v>
      </c>
      <c r="N41"/>
      <c r="O41" s="16">
        <v>1038212</v>
      </c>
    </row>
    <row r="42" spans="1:22">
      <c r="A42" s="16" t="s">
        <v>290</v>
      </c>
      <c r="B42" t="s">
        <v>463</v>
      </c>
      <c r="C42" s="16">
        <v>107534</v>
      </c>
      <c r="D42" s="896">
        <f>I19</f>
        <v>107559</v>
      </c>
      <c r="E42" s="16">
        <f t="shared" si="7"/>
        <v>7</v>
      </c>
      <c r="F42" s="610">
        <v>2861914</v>
      </c>
      <c r="G42" s="148">
        <f t="shared" si="8"/>
        <v>3.7582890331435533E-2</v>
      </c>
      <c r="H42" s="148">
        <f t="shared" si="9"/>
        <v>2.3248460951884984E-4</v>
      </c>
      <c r="J42" s="233"/>
      <c r="M42" t="s">
        <v>1311</v>
      </c>
      <c r="N42"/>
      <c r="O42" s="16">
        <v>1083312</v>
      </c>
    </row>
    <row r="43" spans="1:22">
      <c r="A43" s="16" t="s">
        <v>290</v>
      </c>
      <c r="B43" t="s">
        <v>467</v>
      </c>
      <c r="C43" s="16">
        <v>59771</v>
      </c>
      <c r="D43" s="896">
        <f>I27</f>
        <v>61674</v>
      </c>
      <c r="E43" s="16">
        <f t="shared" si="7"/>
        <v>11</v>
      </c>
      <c r="F43" s="610">
        <v>2121524</v>
      </c>
      <c r="G43" s="148">
        <f t="shared" si="8"/>
        <v>2.9070611503805754E-2</v>
      </c>
      <c r="H43" s="148">
        <f t="shared" si="9"/>
        <v>3.183818239614529E-2</v>
      </c>
      <c r="I43" s="611">
        <f>F43+F42</f>
        <v>4983438</v>
      </c>
      <c r="J43" s="233"/>
      <c r="M43"/>
      <c r="N43"/>
      <c r="O43" s="16">
        <f>SUM(O41:O42)</f>
        <v>2121524</v>
      </c>
    </row>
    <row r="44" spans="1:22">
      <c r="A44" s="16" t="s">
        <v>291</v>
      </c>
      <c r="B44" s="16" t="s">
        <v>470</v>
      </c>
      <c r="C44" s="16">
        <v>91602</v>
      </c>
      <c r="D44" s="896">
        <f>I21</f>
        <v>92775</v>
      </c>
      <c r="E44" s="16">
        <f t="shared" si="7"/>
        <v>12</v>
      </c>
      <c r="F44" s="610">
        <v>3275188</v>
      </c>
      <c r="G44" s="148">
        <f t="shared" si="8"/>
        <v>2.8326618197184406E-2</v>
      </c>
      <c r="H44" s="148">
        <f t="shared" si="9"/>
        <v>1.2805397262068514E-2</v>
      </c>
      <c r="J44" s="233"/>
      <c r="M44"/>
      <c r="N44"/>
    </row>
    <row r="45" spans="1:22">
      <c r="A45" s="16" t="s">
        <v>291</v>
      </c>
      <c r="B45" t="s">
        <v>460</v>
      </c>
      <c r="C45" s="16">
        <v>186073</v>
      </c>
      <c r="D45" s="896">
        <f>I23</f>
        <v>192327</v>
      </c>
      <c r="E45" s="16">
        <f t="shared" si="7"/>
        <v>1</v>
      </c>
      <c r="F45" s="610">
        <v>3185317</v>
      </c>
      <c r="G45" s="148">
        <f t="shared" si="8"/>
        <v>6.0379233840776286E-2</v>
      </c>
      <c r="H45" s="148">
        <f t="shared" si="9"/>
        <v>3.3610464710086899E-2</v>
      </c>
      <c r="I45" s="611">
        <f>F45+F44</f>
        <v>6460505</v>
      </c>
      <c r="J45" s="233"/>
      <c r="M45"/>
      <c r="N45"/>
    </row>
    <row r="46" spans="1:22">
      <c r="A46" t="s">
        <v>271</v>
      </c>
      <c r="B46" t="s">
        <v>271</v>
      </c>
      <c r="C46" s="16">
        <v>2506794</v>
      </c>
      <c r="D46" s="896">
        <f>I31</f>
        <v>2564539</v>
      </c>
      <c r="E46" s="16" t="s">
        <v>916</v>
      </c>
      <c r="F46" s="610">
        <v>64027958</v>
      </c>
      <c r="G46" s="148">
        <f t="shared" si="8"/>
        <v>4.0053424786715829E-2</v>
      </c>
      <c r="H46" s="148">
        <f t="shared" si="9"/>
        <v>2.3035398999678474E-2</v>
      </c>
      <c r="I46" s="57"/>
      <c r="L46" s="613"/>
      <c r="M46" t="s">
        <v>1312</v>
      </c>
      <c r="O46" s="16" t="s">
        <v>1659</v>
      </c>
    </row>
    <row r="47" spans="1:22">
      <c r="B47"/>
      <c r="G47" s="236"/>
      <c r="H47" s="148"/>
      <c r="I47" s="57"/>
      <c r="M47" t="s">
        <v>1305</v>
      </c>
      <c r="N47" s="237" t="s">
        <v>1313</v>
      </c>
      <c r="O47" s="16">
        <v>626127</v>
      </c>
    </row>
    <row r="48" spans="1:22">
      <c r="A48" s="920" t="s">
        <v>234</v>
      </c>
      <c r="B48" s="920" t="s">
        <v>234</v>
      </c>
      <c r="C48" s="920">
        <v>42296</v>
      </c>
      <c r="D48" s="921">
        <v>44501</v>
      </c>
      <c r="E48" s="920"/>
      <c r="F48" s="922">
        <v>1083312</v>
      </c>
      <c r="G48" s="923">
        <f>D48/F48</f>
        <v>4.1078655087361721E-2</v>
      </c>
      <c r="H48" s="923">
        <f>(D48-C48)/C48</f>
        <v>5.2132589370153207E-2</v>
      </c>
      <c r="I48" s="57"/>
      <c r="M48" t="s">
        <v>1305</v>
      </c>
      <c r="N48" s="237" t="s">
        <v>264</v>
      </c>
      <c r="O48" s="16">
        <v>1801885</v>
      </c>
    </row>
    <row r="49" spans="1:15">
      <c r="A49" s="920" t="s">
        <v>242</v>
      </c>
      <c r="B49" s="920" t="s">
        <v>242</v>
      </c>
      <c r="C49" s="920">
        <v>61340</v>
      </c>
      <c r="D49" s="921">
        <v>63085</v>
      </c>
      <c r="E49" s="920"/>
      <c r="F49" s="922">
        <v>1112815</v>
      </c>
      <c r="G49" s="923">
        <f t="shared" ref="G49:G62" si="10">D49/F49</f>
        <v>5.6689566549696042E-2</v>
      </c>
      <c r="H49" s="923">
        <f t="shared" ref="H49:H62" si="11">(D49-C49)/C49</f>
        <v>2.844799478317574E-2</v>
      </c>
      <c r="I49" s="57"/>
      <c r="M49" t="s">
        <v>1305</v>
      </c>
      <c r="N49" s="237" t="s">
        <v>834</v>
      </c>
      <c r="O49" s="16">
        <v>757305</v>
      </c>
    </row>
    <row r="50" spans="1:15">
      <c r="A50" s="920" t="s">
        <v>235</v>
      </c>
      <c r="B50" s="920" t="s">
        <v>235</v>
      </c>
      <c r="C50" s="920">
        <v>92205</v>
      </c>
      <c r="D50" s="921">
        <v>94678</v>
      </c>
      <c r="E50" s="920"/>
      <c r="F50" s="922">
        <v>2006069</v>
      </c>
      <c r="G50" s="923">
        <f t="shared" si="10"/>
        <v>4.7195784392261679E-2</v>
      </c>
      <c r="H50" s="923">
        <f t="shared" si="11"/>
        <v>2.6820671330188169E-2</v>
      </c>
      <c r="I50" s="57"/>
      <c r="L50" s="613"/>
      <c r="O50" s="16">
        <f>SUM(O47:O49)</f>
        <v>3185317</v>
      </c>
    </row>
    <row r="51" spans="1:15">
      <c r="A51" s="920" t="s">
        <v>114</v>
      </c>
      <c r="B51" s="920" t="s">
        <v>114</v>
      </c>
      <c r="C51" s="920">
        <v>89668</v>
      </c>
      <c r="D51" s="921">
        <v>92891</v>
      </c>
      <c r="E51" s="920"/>
      <c r="F51" s="922">
        <v>1526016</v>
      </c>
      <c r="G51" s="923">
        <f t="shared" si="10"/>
        <v>6.0871576706928367E-2</v>
      </c>
      <c r="H51" s="923">
        <f t="shared" si="11"/>
        <v>3.5943703439354061E-2</v>
      </c>
      <c r="M51" t="s">
        <v>1314</v>
      </c>
      <c r="O51" s="16" t="s">
        <v>1659</v>
      </c>
    </row>
    <row r="52" spans="1:15">
      <c r="A52" s="920" t="s">
        <v>236</v>
      </c>
      <c r="B52" s="920" t="s">
        <v>236</v>
      </c>
      <c r="C52" s="920">
        <v>109533</v>
      </c>
      <c r="D52" s="921">
        <v>112270</v>
      </c>
      <c r="E52" s="920"/>
      <c r="F52" s="922">
        <v>1317668</v>
      </c>
      <c r="G52" s="923">
        <f t="shared" si="10"/>
        <v>8.5203556586332829E-2</v>
      </c>
      <c r="H52" s="923">
        <f t="shared" si="11"/>
        <v>2.4987903188993271E-2</v>
      </c>
      <c r="L52" s="613"/>
      <c r="M52" t="s">
        <v>1305</v>
      </c>
      <c r="N52" s="16">
        <v>7</v>
      </c>
      <c r="O52" s="16">
        <v>322381</v>
      </c>
    </row>
    <row r="53" spans="1:15">
      <c r="A53" s="920" t="s">
        <v>237</v>
      </c>
      <c r="B53" s="920" t="s">
        <v>237</v>
      </c>
      <c r="C53" s="920">
        <v>75516</v>
      </c>
      <c r="D53" s="921">
        <v>78646</v>
      </c>
      <c r="E53" s="920"/>
      <c r="F53" s="922">
        <v>1107398</v>
      </c>
      <c r="G53" s="923">
        <f t="shared" si="10"/>
        <v>7.1018730393228091E-2</v>
      </c>
      <c r="H53" s="923">
        <f t="shared" si="11"/>
        <v>4.1448169924254465E-2</v>
      </c>
      <c r="M53" t="s">
        <v>1305</v>
      </c>
      <c r="N53" s="16">
        <v>26</v>
      </c>
      <c r="O53" s="16">
        <v>499159.00000000006</v>
      </c>
    </row>
    <row r="54" spans="1:15">
      <c r="A54" s="920" t="s">
        <v>238</v>
      </c>
      <c r="B54" s="920" t="s">
        <v>238</v>
      </c>
      <c r="C54" s="920">
        <v>68325</v>
      </c>
      <c r="D54" s="921">
        <v>70685</v>
      </c>
      <c r="E54" s="920"/>
      <c r="F54" s="922">
        <v>1032240</v>
      </c>
      <c r="G54" s="923">
        <f t="shared" si="10"/>
        <v>6.8477292102611789E-2</v>
      </c>
      <c r="H54" s="923">
        <f t="shared" si="11"/>
        <v>3.4540797658251007E-2</v>
      </c>
      <c r="L54" s="613"/>
      <c r="M54" t="s">
        <v>1305</v>
      </c>
      <c r="N54" s="16">
        <v>38</v>
      </c>
      <c r="O54" s="16">
        <v>1243597</v>
      </c>
    </row>
    <row r="55" spans="1:15">
      <c r="A55" s="920" t="s">
        <v>239</v>
      </c>
      <c r="B55" s="920" t="s">
        <v>239</v>
      </c>
      <c r="C55" s="920">
        <v>60169</v>
      </c>
      <c r="D55" s="921">
        <v>61961</v>
      </c>
      <c r="E55" s="920"/>
      <c r="F55" s="922">
        <v>1243597</v>
      </c>
      <c r="G55" s="923">
        <f t="shared" si="10"/>
        <v>4.9824018552634013E-2</v>
      </c>
      <c r="H55" s="923">
        <f t="shared" si="11"/>
        <v>2.9782778507204708E-2</v>
      </c>
      <c r="L55" s="613"/>
      <c r="M55" t="s">
        <v>1305</v>
      </c>
      <c r="N55" s="16">
        <v>73</v>
      </c>
      <c r="O55" s="16">
        <v>426923.99999999988</v>
      </c>
    </row>
    <row r="56" spans="1:15">
      <c r="A56" s="920" t="s">
        <v>240</v>
      </c>
      <c r="B56" s="920" t="s">
        <v>240</v>
      </c>
      <c r="C56" s="920">
        <v>59505</v>
      </c>
      <c r="D56" s="921">
        <v>60590</v>
      </c>
      <c r="E56" s="920"/>
      <c r="F56" s="922">
        <v>1346592</v>
      </c>
      <c r="G56" s="923">
        <f t="shared" si="10"/>
        <v>4.4995069033530573E-2</v>
      </c>
      <c r="H56" s="923">
        <f t="shared" si="11"/>
        <v>1.8233761868750524E-2</v>
      </c>
      <c r="L56" s="613"/>
      <c r="M56" t="s">
        <v>1305</v>
      </c>
      <c r="N56" s="16">
        <v>74</v>
      </c>
      <c r="O56" s="16">
        <v>783127</v>
      </c>
    </row>
    <row r="57" spans="1:15">
      <c r="A57" s="920" t="s">
        <v>241</v>
      </c>
      <c r="B57" s="920" t="s">
        <v>241</v>
      </c>
      <c r="C57" s="920">
        <v>136421</v>
      </c>
      <c r="D57" s="921">
        <v>143312</v>
      </c>
      <c r="E57" s="920"/>
      <c r="F57" s="922">
        <v>2603472</v>
      </c>
      <c r="G57" s="923">
        <f t="shared" si="10"/>
        <v>5.5046491761770434E-2</v>
      </c>
      <c r="H57" s="923">
        <f t="shared" si="11"/>
        <v>5.0512750969425528E-2</v>
      </c>
      <c r="L57" s="613"/>
      <c r="O57" s="16">
        <f>SUM(O52:O56)</f>
        <v>3275188</v>
      </c>
    </row>
    <row r="58" spans="1:15">
      <c r="A58" s="920" t="s">
        <v>247</v>
      </c>
      <c r="B58" s="920" t="s">
        <v>247</v>
      </c>
      <c r="C58" s="920">
        <v>28094</v>
      </c>
      <c r="D58" s="921">
        <v>28452</v>
      </c>
      <c r="E58" s="920"/>
      <c r="F58" s="922">
        <v>1472589</v>
      </c>
      <c r="G58" s="923">
        <f t="shared" si="10"/>
        <v>1.9321073293362915E-2</v>
      </c>
      <c r="H58" s="923">
        <f t="shared" si="11"/>
        <v>1.2742934434398804E-2</v>
      </c>
      <c r="M58" s="616"/>
    </row>
    <row r="59" spans="1:15">
      <c r="A59" s="920" t="s">
        <v>243</v>
      </c>
      <c r="B59" s="920" t="s">
        <v>243</v>
      </c>
      <c r="C59" s="920">
        <v>149341</v>
      </c>
      <c r="D59" s="921">
        <v>155368</v>
      </c>
      <c r="E59" s="920"/>
      <c r="F59" s="922">
        <v>1801885</v>
      </c>
      <c r="G59" s="923">
        <f t="shared" si="10"/>
        <v>8.6225258548686512E-2</v>
      </c>
      <c r="H59" s="923">
        <f t="shared" si="11"/>
        <v>4.0357303084886269E-2</v>
      </c>
    </row>
    <row r="60" spans="1:15">
      <c r="A60" s="920" t="s">
        <v>244</v>
      </c>
      <c r="B60" s="920" t="s">
        <v>244</v>
      </c>
      <c r="C60" s="920">
        <v>54471</v>
      </c>
      <c r="D60" s="921">
        <v>57235</v>
      </c>
      <c r="E60" s="920"/>
      <c r="F60" s="922">
        <v>1257920</v>
      </c>
      <c r="G60" s="923">
        <f t="shared" si="10"/>
        <v>4.5499713813279066E-2</v>
      </c>
      <c r="H60" s="923">
        <f t="shared" si="11"/>
        <v>5.0742596978208591E-2</v>
      </c>
    </row>
    <row r="61" spans="1:15">
      <c r="A61" s="920" t="s">
        <v>245</v>
      </c>
      <c r="B61" s="920" t="s">
        <v>245</v>
      </c>
      <c r="C61" s="920">
        <v>14863</v>
      </c>
      <c r="D61" s="921">
        <v>15270</v>
      </c>
      <c r="E61" s="920"/>
      <c r="F61" s="922">
        <v>1038212</v>
      </c>
      <c r="G61" s="923">
        <f t="shared" si="10"/>
        <v>1.4707978717256206E-2</v>
      </c>
      <c r="H61" s="923">
        <f t="shared" si="11"/>
        <v>2.7383435376438135E-2</v>
      </c>
    </row>
    <row r="62" spans="1:15">
      <c r="A62" s="920" t="s">
        <v>246</v>
      </c>
      <c r="B62" s="920" t="s">
        <v>246</v>
      </c>
      <c r="C62" s="920">
        <v>10483</v>
      </c>
      <c r="D62" s="921">
        <v>10843</v>
      </c>
      <c r="E62" s="920"/>
      <c r="F62" s="922">
        <v>554374</v>
      </c>
      <c r="G62" s="923">
        <f t="shared" si="10"/>
        <v>1.9558998077110399E-2</v>
      </c>
      <c r="H62" s="923">
        <f t="shared" si="11"/>
        <v>3.4341314509205377E-2</v>
      </c>
    </row>
    <row r="65" spans="1:17">
      <c r="A65" s="16" t="s">
        <v>1805</v>
      </c>
      <c r="C65" s="868">
        <v>2015</v>
      </c>
      <c r="D65" s="868">
        <v>2016</v>
      </c>
    </row>
    <row r="66" spans="1:17">
      <c r="A66" s="615"/>
      <c r="B66" s="609"/>
      <c r="C66" s="868" t="s">
        <v>826</v>
      </c>
      <c r="D66" s="868" t="s">
        <v>827</v>
      </c>
      <c r="E66" s="609"/>
      <c r="F66" s="609" t="s">
        <v>841</v>
      </c>
      <c r="G66" s="609"/>
      <c r="H66" s="609"/>
      <c r="I66"/>
      <c r="J66"/>
      <c r="K66"/>
      <c r="L66"/>
      <c r="M66"/>
      <c r="P66" s="609"/>
      <c r="Q66" s="609"/>
    </row>
    <row r="67" spans="1:17" s="14" customFormat="1">
      <c r="A67" s="614" t="s">
        <v>1402</v>
      </c>
      <c r="C67" s="790">
        <v>323072</v>
      </c>
      <c r="D67" s="896">
        <v>331005</v>
      </c>
      <c r="F67" s="924">
        <v>7820966</v>
      </c>
      <c r="G67" s="148">
        <f t="shared" ref="G67:G76" si="12">D67/F67</f>
        <v>4.232277700734155E-2</v>
      </c>
      <c r="H67" s="36">
        <f>(D67-C67)/C67</f>
        <v>2.4554897979397781E-2</v>
      </c>
      <c r="I67"/>
      <c r="J67"/>
      <c r="K67"/>
      <c r="L67"/>
      <c r="M67"/>
      <c r="N67" s="614"/>
      <c r="O67" s="614"/>
      <c r="P67" s="614"/>
      <c r="Q67" s="614"/>
    </row>
    <row r="68" spans="1:17">
      <c r="A68" s="609" t="s">
        <v>1824</v>
      </c>
      <c r="C68" s="790">
        <v>125100</v>
      </c>
      <c r="D68" s="896">
        <v>126860</v>
      </c>
      <c r="E68" s="609"/>
      <c r="F68" s="924">
        <v>3276543</v>
      </c>
      <c r="G68" s="148">
        <f t="shared" si="12"/>
        <v>3.8717636240391165E-2</v>
      </c>
      <c r="H68" s="36">
        <f t="shared" ref="H68:H76" si="13">(D68-C68)/C68</f>
        <v>1.4068745003996802E-2</v>
      </c>
      <c r="I68"/>
      <c r="J68"/>
      <c r="K68"/>
      <c r="L68"/>
      <c r="M68"/>
      <c r="N68" s="609"/>
      <c r="O68" s="609"/>
      <c r="P68" s="609"/>
      <c r="Q68" s="609"/>
    </row>
    <row r="69" spans="1:17">
      <c r="A69" s="609" t="s">
        <v>1403</v>
      </c>
      <c r="C69" s="790">
        <v>200934</v>
      </c>
      <c r="D69" s="896">
        <v>206827</v>
      </c>
      <c r="E69" s="609"/>
      <c r="F69" s="924">
        <v>5554645</v>
      </c>
      <c r="G69" s="148">
        <f t="shared" si="12"/>
        <v>3.7234962810404629E-2</v>
      </c>
      <c r="H69" s="36">
        <f t="shared" si="13"/>
        <v>2.9328038062249297E-2</v>
      </c>
      <c r="I69"/>
      <c r="J69"/>
      <c r="K69"/>
      <c r="L69"/>
      <c r="M69"/>
      <c r="N69" s="609"/>
      <c r="O69" s="609"/>
      <c r="P69" s="609"/>
      <c r="Q69" s="609"/>
    </row>
    <row r="70" spans="1:17">
      <c r="A70" s="609" t="s">
        <v>1404</v>
      </c>
      <c r="C70" s="790">
        <v>219447</v>
      </c>
      <c r="D70" s="896">
        <v>224591</v>
      </c>
      <c r="E70" s="609"/>
      <c r="F70" s="924">
        <v>6006156</v>
      </c>
      <c r="G70" s="148">
        <f t="shared" si="12"/>
        <v>3.7393467635539267E-2</v>
      </c>
      <c r="H70" s="36">
        <f t="shared" si="13"/>
        <v>2.3440739677461984E-2</v>
      </c>
      <c r="I70"/>
      <c r="J70"/>
      <c r="K70"/>
      <c r="L70"/>
      <c r="M70"/>
      <c r="N70" s="609"/>
      <c r="O70" s="609"/>
      <c r="P70" s="609"/>
      <c r="Q70" s="609"/>
    </row>
    <row r="71" spans="1:17">
      <c r="A71" s="609" t="s">
        <v>1405</v>
      </c>
      <c r="C71" s="790">
        <v>102282</v>
      </c>
      <c r="D71" s="896">
        <v>104644</v>
      </c>
      <c r="E71" s="609"/>
      <c r="F71" s="924">
        <v>3335645</v>
      </c>
      <c r="G71" s="148">
        <f t="shared" si="12"/>
        <v>3.1371443903652818E-2</v>
      </c>
      <c r="H71" s="36">
        <f t="shared" si="13"/>
        <v>2.3093017344205238E-2</v>
      </c>
      <c r="I71"/>
      <c r="J71"/>
      <c r="K71"/>
      <c r="L71"/>
      <c r="M71"/>
      <c r="N71" s="609"/>
      <c r="O71" s="609"/>
      <c r="P71" s="609"/>
      <c r="Q71" s="609"/>
    </row>
    <row r="72" spans="1:17">
      <c r="A72" s="609" t="s">
        <v>1406</v>
      </c>
      <c r="C72" s="790">
        <v>194415</v>
      </c>
      <c r="D72" s="896">
        <v>199027</v>
      </c>
      <c r="E72" s="609"/>
      <c r="F72" s="924">
        <v>5879144</v>
      </c>
      <c r="G72" s="148">
        <f t="shared" si="12"/>
        <v>3.3853057519938279E-2</v>
      </c>
      <c r="H72" s="36">
        <f t="shared" si="13"/>
        <v>2.3722449399480493E-2</v>
      </c>
      <c r="I72"/>
      <c r="J72"/>
      <c r="K72"/>
      <c r="L72"/>
      <c r="M72"/>
      <c r="N72" s="609"/>
      <c r="O72" s="609"/>
      <c r="P72" s="609"/>
      <c r="Q72" s="609"/>
    </row>
    <row r="73" spans="1:17">
      <c r="A73" s="609" t="s">
        <v>1407</v>
      </c>
      <c r="C73" s="790">
        <v>240485</v>
      </c>
      <c r="D73" s="896">
        <v>244881</v>
      </c>
      <c r="E73" s="609"/>
      <c r="F73" s="924">
        <v>5730753</v>
      </c>
      <c r="G73" s="148">
        <f t="shared" si="12"/>
        <v>4.2731033775142639E-2</v>
      </c>
      <c r="H73" s="36">
        <f t="shared" si="13"/>
        <v>1.8279726386261096E-2</v>
      </c>
      <c r="I73"/>
      <c r="J73"/>
      <c r="K73"/>
      <c r="L73"/>
      <c r="M73"/>
      <c r="N73" s="609"/>
      <c r="O73" s="609"/>
      <c r="P73" s="609"/>
      <c r="Q73" s="609"/>
    </row>
    <row r="74" spans="1:17">
      <c r="A74" s="609" t="s">
        <v>1825</v>
      </c>
      <c r="C74" s="790">
        <v>127159</v>
      </c>
      <c r="D74" s="896">
        <v>131978</v>
      </c>
      <c r="E74" s="609"/>
      <c r="F74" s="924">
        <v>3690833</v>
      </c>
      <c r="G74" s="148">
        <f t="shared" si="12"/>
        <v>3.5758323392036433E-2</v>
      </c>
      <c r="H74" s="36">
        <f t="shared" si="13"/>
        <v>3.7897435494145128E-2</v>
      </c>
      <c r="I74"/>
      <c r="J74"/>
      <c r="K74"/>
      <c r="L74"/>
      <c r="M74"/>
      <c r="N74" s="609"/>
      <c r="O74" s="609"/>
      <c r="P74" s="609"/>
      <c r="Q74" s="609"/>
    </row>
    <row r="75" spans="1:17">
      <c r="A75" s="609" t="s">
        <v>290</v>
      </c>
      <c r="C75" s="790">
        <v>167305</v>
      </c>
      <c r="D75" s="896">
        <v>168559</v>
      </c>
      <c r="E75" s="609"/>
      <c r="F75" s="924">
        <v>4983438</v>
      </c>
      <c r="G75" s="148">
        <f t="shared" si="12"/>
        <v>3.3823838081260368E-2</v>
      </c>
      <c r="H75" s="36">
        <f t="shared" si="13"/>
        <v>7.495293027703894E-3</v>
      </c>
      <c r="I75"/>
      <c r="J75"/>
      <c r="K75"/>
      <c r="L75"/>
      <c r="M75"/>
      <c r="N75" s="609"/>
      <c r="O75" s="609"/>
      <c r="P75" s="609"/>
      <c r="Q75" s="609"/>
    </row>
    <row r="76" spans="1:17">
      <c r="A76" s="609" t="s">
        <v>1813</v>
      </c>
      <c r="C76" s="790">
        <v>2560699</v>
      </c>
      <c r="D76" s="896">
        <v>2564539</v>
      </c>
      <c r="E76" s="609"/>
      <c r="F76" s="924">
        <v>64027958</v>
      </c>
      <c r="G76" s="148">
        <f t="shared" si="12"/>
        <v>4.0053424786715829E-2</v>
      </c>
      <c r="H76" s="36">
        <f t="shared" si="13"/>
        <v>1.4995905414888668E-3</v>
      </c>
      <c r="I76"/>
      <c r="J76"/>
      <c r="K76"/>
      <c r="L76"/>
      <c r="M76"/>
      <c r="N76" s="609"/>
      <c r="O76" s="609"/>
      <c r="P76" s="609"/>
      <c r="Q76" s="609"/>
    </row>
    <row r="77" spans="1:17">
      <c r="A77" s="609"/>
      <c r="B77" s="609"/>
      <c r="C77" s="609"/>
      <c r="D77" s="609"/>
      <c r="E77" s="609"/>
      <c r="F77" s="609"/>
      <c r="G77" s="609"/>
      <c r="H77" s="609"/>
      <c r="I77"/>
      <c r="J77"/>
      <c r="K77"/>
      <c r="L77"/>
      <c r="M77"/>
      <c r="N77" s="609"/>
      <c r="O77" s="609"/>
      <c r="P77" s="609"/>
      <c r="Q77" s="609"/>
    </row>
    <row r="78" spans="1:17">
      <c r="A78" s="609"/>
      <c r="B78" s="609"/>
      <c r="C78" s="609"/>
      <c r="D78" s="609"/>
      <c r="E78" s="609"/>
      <c r="F78" s="609"/>
      <c r="G78" s="609"/>
      <c r="H78" s="609"/>
      <c r="I78"/>
      <c r="J78"/>
      <c r="K78"/>
      <c r="L78"/>
      <c r="M78"/>
      <c r="N78" s="609"/>
      <c r="O78" s="609"/>
      <c r="P78" s="609"/>
      <c r="Q78" s="609"/>
    </row>
    <row r="79" spans="1:17">
      <c r="A79" s="609"/>
      <c r="B79" s="609"/>
      <c r="C79" s="609"/>
      <c r="D79" s="609"/>
      <c r="E79" s="609"/>
      <c r="F79" s="609"/>
      <c r="G79" s="609"/>
      <c r="H79" s="609"/>
      <c r="I79"/>
      <c r="J79"/>
      <c r="K79"/>
      <c r="L79"/>
      <c r="M79"/>
      <c r="N79" s="609"/>
      <c r="O79" s="609"/>
      <c r="P79" s="609"/>
      <c r="Q79" s="609"/>
    </row>
    <row r="80" spans="1:17">
      <c r="I80"/>
      <c r="J80"/>
      <c r="K80"/>
      <c r="L80"/>
      <c r="M80"/>
    </row>
  </sheetData>
  <sortState ref="R47:T61">
    <sortCondition ref="R47:R61"/>
  </sortState>
  <mergeCells count="6">
    <mergeCell ref="S19:V21"/>
    <mergeCell ref="S33:V35"/>
    <mergeCell ref="L18:P18"/>
    <mergeCell ref="L25:P26"/>
    <mergeCell ref="L19:P20"/>
    <mergeCell ref="L21:P22"/>
  </mergeCells>
  <hyperlinks>
    <hyperlink ref="A2" r:id="rId1"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BO52"/>
  <sheetViews>
    <sheetView workbookViewId="0">
      <selection activeCell="D9" sqref="D9"/>
    </sheetView>
  </sheetViews>
  <sheetFormatPr baseColWidth="10" defaultRowHeight="15"/>
  <cols>
    <col min="1" max="1" width="25.7109375" customWidth="1"/>
    <col min="2" max="2" width="10.42578125" customWidth="1"/>
    <col min="6" max="6" width="19" customWidth="1"/>
    <col min="10" max="10" width="12" bestFit="1" customWidth="1"/>
    <col min="11" max="11" width="13.5703125" bestFit="1" customWidth="1"/>
    <col min="13" max="13" width="11.28515625" customWidth="1"/>
    <col min="66" max="66" width="26.140625" bestFit="1" customWidth="1"/>
  </cols>
  <sheetData>
    <row r="3" spans="1:67" s="161" customFormat="1">
      <c r="A3" s="239" t="s">
        <v>475</v>
      </c>
    </row>
    <row r="4" spans="1:67" s="241" customFormat="1">
      <c r="A4" s="240" t="s">
        <v>847</v>
      </c>
    </row>
    <row r="5" spans="1:67">
      <c r="A5" t="s">
        <v>476</v>
      </c>
    </row>
    <row r="7" spans="1:67" s="736" customFormat="1">
      <c r="A7" s="736" t="s">
        <v>1468</v>
      </c>
      <c r="B7" s="737" t="s">
        <v>1469</v>
      </c>
      <c r="U7" s="736" t="s">
        <v>1465</v>
      </c>
    </row>
    <row r="8" spans="1:67" ht="46.5" customHeight="1">
      <c r="D8">
        <v>2014</v>
      </c>
      <c r="E8">
        <v>2013</v>
      </c>
      <c r="U8" s="649" t="s">
        <v>481</v>
      </c>
      <c r="V8" s="649"/>
      <c r="W8" s="649"/>
      <c r="X8" s="649"/>
      <c r="Y8" s="1094" t="s">
        <v>482</v>
      </c>
      <c r="Z8" s="1094"/>
      <c r="AA8" s="649"/>
      <c r="AB8" s="1094" t="s">
        <v>483</v>
      </c>
      <c r="AC8" s="1094"/>
      <c r="AD8" s="649"/>
      <c r="AE8" s="1094" t="s">
        <v>484</v>
      </c>
      <c r="AF8" s="1094"/>
      <c r="AG8" s="1094"/>
      <c r="AH8" s="1094"/>
      <c r="AI8" s="649"/>
      <c r="AJ8" s="1094" t="s">
        <v>485</v>
      </c>
      <c r="AK8" s="1094"/>
      <c r="AL8" s="1094"/>
      <c r="AM8" s="1094"/>
      <c r="AN8" s="649"/>
      <c r="AO8" s="649"/>
      <c r="AP8" s="649" t="s">
        <v>477</v>
      </c>
      <c r="AQ8" s="649"/>
      <c r="AR8" s="649"/>
      <c r="AS8" s="649"/>
      <c r="AT8" s="649"/>
      <c r="AU8" s="649" t="s">
        <v>478</v>
      </c>
      <c r="AV8" s="649"/>
      <c r="AW8" s="649"/>
      <c r="AX8" s="649"/>
      <c r="AY8" s="649"/>
      <c r="AZ8" s="649" t="s">
        <v>479</v>
      </c>
      <c r="BA8" s="649"/>
      <c r="BB8" s="649"/>
      <c r="BC8" s="649"/>
      <c r="BD8" s="649"/>
      <c r="BE8" s="649"/>
      <c r="BF8" s="649"/>
      <c r="BG8" s="649" t="s">
        <v>480</v>
      </c>
      <c r="BH8" s="649"/>
      <c r="BI8" s="649"/>
      <c r="BJ8" s="649"/>
    </row>
    <row r="9" spans="1:67" s="55" customFormat="1" ht="105">
      <c r="A9" s="728"/>
      <c r="B9" s="958" t="s">
        <v>848</v>
      </c>
      <c r="C9" s="958" t="s">
        <v>849</v>
      </c>
      <c r="D9" s="950" t="s">
        <v>856</v>
      </c>
      <c r="E9" s="734" t="s">
        <v>857</v>
      </c>
      <c r="F9" s="950" t="s">
        <v>850</v>
      </c>
      <c r="G9" s="950" t="s">
        <v>854</v>
      </c>
      <c r="H9" s="950" t="s">
        <v>181</v>
      </c>
      <c r="I9" s="950" t="s">
        <v>855</v>
      </c>
      <c r="J9" s="950" t="s">
        <v>851</v>
      </c>
      <c r="K9" s="950" t="s">
        <v>852</v>
      </c>
      <c r="L9" s="950" t="s">
        <v>1467</v>
      </c>
      <c r="M9" s="958"/>
      <c r="N9" s="958"/>
      <c r="O9" s="950" t="s">
        <v>1463</v>
      </c>
      <c r="P9" s="950" t="s">
        <v>1947</v>
      </c>
      <c r="Q9" s="958"/>
      <c r="R9" s="950" t="s">
        <v>1463</v>
      </c>
      <c r="S9" s="950" t="s">
        <v>1946</v>
      </c>
      <c r="U9" s="650" t="s">
        <v>495</v>
      </c>
      <c r="V9" s="650" t="s">
        <v>496</v>
      </c>
      <c r="W9" s="650" t="s">
        <v>498</v>
      </c>
      <c r="X9" s="650" t="s">
        <v>499</v>
      </c>
      <c r="Y9" s="650"/>
      <c r="Z9" s="650" t="s">
        <v>498</v>
      </c>
      <c r="AA9" s="650" t="s">
        <v>500</v>
      </c>
      <c r="AB9" s="650"/>
      <c r="AC9" s="650" t="s">
        <v>498</v>
      </c>
      <c r="AD9" s="650" t="s">
        <v>501</v>
      </c>
      <c r="AE9" s="650"/>
      <c r="AF9" s="650" t="s">
        <v>490</v>
      </c>
      <c r="AG9" s="650" t="s">
        <v>491</v>
      </c>
      <c r="AH9" s="650" t="s">
        <v>502</v>
      </c>
      <c r="AI9" s="650" t="s">
        <v>503</v>
      </c>
      <c r="AJ9" s="650"/>
      <c r="AK9" s="650" t="s">
        <v>486</v>
      </c>
      <c r="AL9" s="650" t="s">
        <v>487</v>
      </c>
      <c r="AM9" s="650" t="s">
        <v>504</v>
      </c>
      <c r="AN9" s="650" t="s">
        <v>505</v>
      </c>
      <c r="AO9" s="650"/>
      <c r="AP9" s="650"/>
      <c r="AQ9" s="650" t="s">
        <v>486</v>
      </c>
      <c r="AR9" s="650" t="s">
        <v>487</v>
      </c>
      <c r="AS9" s="650" t="s">
        <v>488</v>
      </c>
      <c r="AT9" s="650" t="s">
        <v>489</v>
      </c>
      <c r="AU9" s="650"/>
      <c r="AV9" s="650" t="s">
        <v>490</v>
      </c>
      <c r="AW9" s="650" t="s">
        <v>491</v>
      </c>
      <c r="AX9" s="650" t="s">
        <v>492</v>
      </c>
      <c r="AY9" s="650" t="s">
        <v>493</v>
      </c>
      <c r="AZ9" s="650"/>
      <c r="BA9" s="650" t="s">
        <v>490</v>
      </c>
      <c r="BB9" s="650" t="s">
        <v>491</v>
      </c>
      <c r="BC9" s="650" t="s">
        <v>492</v>
      </c>
      <c r="BD9" s="650" t="s">
        <v>494</v>
      </c>
      <c r="BE9" s="650"/>
      <c r="BF9" s="650"/>
      <c r="BG9" s="650" t="s">
        <v>495</v>
      </c>
      <c r="BH9" s="650" t="s">
        <v>496</v>
      </c>
      <c r="BI9" s="650" t="s">
        <v>488</v>
      </c>
      <c r="BJ9" s="650" t="s">
        <v>497</v>
      </c>
      <c r="BM9"/>
      <c r="BN9"/>
      <c r="BO9"/>
    </row>
    <row r="10" spans="1:67">
      <c r="A10" s="728" t="s">
        <v>1402</v>
      </c>
      <c r="B10" s="959"/>
      <c r="C10" s="959"/>
      <c r="D10" s="955">
        <v>35800.101420000021</v>
      </c>
      <c r="E10" s="731">
        <v>35514.650479999997</v>
      </c>
      <c r="F10" s="957">
        <f>D10/D$23*100</f>
        <v>13.499457337040397</v>
      </c>
      <c r="G10" s="954">
        <f>(D10/S10)*1000</f>
        <v>4.5774526343676758</v>
      </c>
      <c r="H10" s="951">
        <f>RANK(G10,$G$10:$G$22)</f>
        <v>3</v>
      </c>
      <c r="I10" s="954">
        <f>D10/P10</f>
        <v>9.6996255265144691E-3</v>
      </c>
      <c r="J10" s="954">
        <v>0.6104169857963494</v>
      </c>
      <c r="K10" s="954">
        <v>0.3895830142036506</v>
      </c>
      <c r="L10" s="951">
        <f>(D10-E10)/E10</f>
        <v>8.0375545343118436E-3</v>
      </c>
      <c r="M10" s="959"/>
      <c r="N10" s="959"/>
      <c r="O10" s="951" t="s">
        <v>1402</v>
      </c>
      <c r="P10" s="953">
        <v>3690874.5932653216</v>
      </c>
      <c r="Q10" s="959"/>
      <c r="R10" s="951" t="s">
        <v>1402</v>
      </c>
      <c r="S10" s="951">
        <v>7820966</v>
      </c>
      <c r="U10" s="649">
        <v>11</v>
      </c>
      <c r="V10" s="649">
        <v>78</v>
      </c>
      <c r="W10" s="920">
        <v>9890.3333333333339</v>
      </c>
      <c r="X10" s="952">
        <v>2.4927580551933648</v>
      </c>
      <c r="Y10" s="649"/>
      <c r="Z10" s="920">
        <v>66627</v>
      </c>
      <c r="AA10" s="952">
        <v>2.9933956330308202</v>
      </c>
      <c r="AB10" s="649"/>
      <c r="AC10" s="920">
        <v>2748</v>
      </c>
      <c r="AD10" s="952">
        <v>3.8488293377529827</v>
      </c>
      <c r="AE10" s="649"/>
      <c r="AF10" s="649">
        <v>10</v>
      </c>
      <c r="AG10" s="649">
        <v>99</v>
      </c>
      <c r="AH10" s="920">
        <v>1577.0728403999999</v>
      </c>
      <c r="AI10" s="952">
        <v>3.0589949894999999</v>
      </c>
      <c r="AJ10" s="649"/>
      <c r="AK10" s="649">
        <v>6</v>
      </c>
      <c r="AL10" s="649">
        <v>46</v>
      </c>
      <c r="AM10" s="920">
        <v>328.10340264000001</v>
      </c>
      <c r="AN10" s="952">
        <v>3.8518713357999999</v>
      </c>
      <c r="AO10" s="649"/>
      <c r="AP10" s="649" t="s">
        <v>506</v>
      </c>
      <c r="AQ10" s="649">
        <v>12</v>
      </c>
      <c r="AR10" s="649">
        <v>86</v>
      </c>
      <c r="AS10" s="920">
        <v>46267.5</v>
      </c>
      <c r="AT10" s="952">
        <v>2.6394816364415332</v>
      </c>
      <c r="AU10" s="649" t="s">
        <v>506</v>
      </c>
      <c r="AV10" s="649">
        <v>13</v>
      </c>
      <c r="AW10" s="649">
        <v>99</v>
      </c>
      <c r="AX10" s="920">
        <v>1856.82</v>
      </c>
      <c r="AY10" s="952">
        <v>2.8440468657972593</v>
      </c>
      <c r="AZ10" s="649" t="s">
        <v>506</v>
      </c>
      <c r="BA10" s="649">
        <v>12</v>
      </c>
      <c r="BB10" s="649">
        <v>100</v>
      </c>
      <c r="BC10" s="920">
        <v>889.6</v>
      </c>
      <c r="BD10" s="952">
        <v>3.0658841126133423</v>
      </c>
      <c r="BE10" s="649"/>
      <c r="BF10" s="649" t="s">
        <v>506</v>
      </c>
      <c r="BG10" s="649">
        <v>10</v>
      </c>
      <c r="BH10" s="649">
        <v>83</v>
      </c>
      <c r="BI10" s="920">
        <v>803.85666666666668</v>
      </c>
      <c r="BJ10" s="952">
        <v>2.0744971195908102</v>
      </c>
      <c r="BM10" s="55"/>
      <c r="BN10" s="55"/>
      <c r="BO10" s="55"/>
    </row>
    <row r="11" spans="1:67">
      <c r="A11" s="728" t="s">
        <v>1460</v>
      </c>
      <c r="B11" s="959"/>
      <c r="C11" s="959"/>
      <c r="D11" s="955">
        <v>6234.6916999999985</v>
      </c>
      <c r="E11" s="731">
        <v>6094.3578000000007</v>
      </c>
      <c r="F11" s="957">
        <f t="shared" ref="F11:F23" si="0">D11/D$23*100</f>
        <v>2.3509697256536377</v>
      </c>
      <c r="G11" s="954">
        <f t="shared" ref="G11:G23" si="1">(D11/S11)*1000</f>
        <v>2.2103952566507465</v>
      </c>
      <c r="H11" s="951">
        <f t="shared" ref="H11:H22" si="2">RANK(G11,$G$10:$G$22)</f>
        <v>6</v>
      </c>
      <c r="I11" s="954">
        <f t="shared" ref="I11:I23" si="3">D11/P11</f>
        <v>4.8557490548589459E-3</v>
      </c>
      <c r="J11" s="954">
        <v>0.67931654102479511</v>
      </c>
      <c r="K11" s="954">
        <v>0.32068345897520495</v>
      </c>
      <c r="L11" s="951">
        <f t="shared" ref="L11:L23" si="4">(D11-E11)/E11</f>
        <v>2.3026856086460462E-2</v>
      </c>
      <c r="M11" s="959"/>
      <c r="N11" s="959"/>
      <c r="O11" s="951" t="s">
        <v>1423</v>
      </c>
      <c r="P11" s="953">
        <v>1283981.4474681723</v>
      </c>
      <c r="Q11" s="959"/>
      <c r="R11" s="951" t="s">
        <v>1423</v>
      </c>
      <c r="S11" s="951">
        <v>2820623</v>
      </c>
      <c r="U11" s="649">
        <v>7</v>
      </c>
      <c r="V11" s="649">
        <v>54</v>
      </c>
      <c r="W11" s="920">
        <v>13460.666666666666</v>
      </c>
      <c r="X11" s="952">
        <v>3.3926243060502999</v>
      </c>
      <c r="Y11" s="649"/>
      <c r="Z11" s="920">
        <v>101462.33333333333</v>
      </c>
      <c r="AA11" s="952">
        <v>4.558465869949381</v>
      </c>
      <c r="AB11" s="649"/>
      <c r="AC11" s="920">
        <v>2929</v>
      </c>
      <c r="AD11" s="952">
        <v>4.1023366558509773</v>
      </c>
      <c r="AE11" s="649"/>
      <c r="AF11" s="649">
        <v>7</v>
      </c>
      <c r="AG11" s="649">
        <v>72</v>
      </c>
      <c r="AH11" s="920">
        <v>1999.7537026</v>
      </c>
      <c r="AI11" s="952">
        <v>3.8788547998</v>
      </c>
      <c r="AJ11" s="649"/>
      <c r="AK11" s="649">
        <v>9</v>
      </c>
      <c r="AL11" s="649">
        <v>73</v>
      </c>
      <c r="AM11" s="920">
        <v>216.18492664999999</v>
      </c>
      <c r="AN11" s="952">
        <v>2.5379697847</v>
      </c>
      <c r="AO11" s="649"/>
      <c r="AP11" s="649" t="s">
        <v>74</v>
      </c>
      <c r="AQ11" s="649">
        <v>6</v>
      </c>
      <c r="AR11" s="649">
        <v>40</v>
      </c>
      <c r="AS11" s="920">
        <v>76851.5</v>
      </c>
      <c r="AT11" s="952">
        <v>4.3842464577292155</v>
      </c>
      <c r="AU11" s="649" t="s">
        <v>74</v>
      </c>
      <c r="AV11" s="649">
        <v>6</v>
      </c>
      <c r="AW11" s="649">
        <v>37</v>
      </c>
      <c r="AX11" s="920">
        <v>3279.2056666666667</v>
      </c>
      <c r="AY11" s="952">
        <v>5.0226810345579782</v>
      </c>
      <c r="AZ11" s="649" t="s">
        <v>74</v>
      </c>
      <c r="BA11" s="649">
        <v>6</v>
      </c>
      <c r="BB11" s="649">
        <v>36</v>
      </c>
      <c r="BC11" s="920">
        <v>1443.7</v>
      </c>
      <c r="BD11" s="952">
        <v>4.9755135941770261</v>
      </c>
      <c r="BE11" s="649"/>
      <c r="BF11" s="649" t="s">
        <v>74</v>
      </c>
      <c r="BG11" s="649">
        <v>7</v>
      </c>
      <c r="BH11" s="649">
        <v>62</v>
      </c>
      <c r="BI11" s="920">
        <v>1173.4783333333332</v>
      </c>
      <c r="BJ11" s="952">
        <v>3.0283724989142651</v>
      </c>
    </row>
    <row r="12" spans="1:67">
      <c r="A12" s="728" t="s">
        <v>508</v>
      </c>
      <c r="B12" s="959"/>
      <c r="C12" s="959"/>
      <c r="D12" s="955">
        <v>10379.518289999996</v>
      </c>
      <c r="E12" s="731">
        <v>10667.701640000001</v>
      </c>
      <c r="F12" s="957">
        <f t="shared" si="0"/>
        <v>3.9138957370832324</v>
      </c>
      <c r="G12" s="954">
        <f t="shared" si="1"/>
        <v>3.1678260563038534</v>
      </c>
      <c r="H12" s="951">
        <f t="shared" si="2"/>
        <v>5</v>
      </c>
      <c r="I12" s="954">
        <f t="shared" si="3"/>
        <v>7.0339175652442852E-3</v>
      </c>
      <c r="J12" s="954">
        <v>0.60707857763214168</v>
      </c>
      <c r="K12" s="954">
        <v>0.39292142236785832</v>
      </c>
      <c r="L12" s="951">
        <f t="shared" si="4"/>
        <v>-2.7014567872747964E-2</v>
      </c>
      <c r="M12" s="959"/>
      <c r="N12" s="959"/>
      <c r="O12" s="951" t="s">
        <v>508</v>
      </c>
      <c r="P12" s="953">
        <v>1475638.3187211151</v>
      </c>
      <c r="Q12" s="959"/>
      <c r="R12" s="951" t="s">
        <v>508</v>
      </c>
      <c r="S12" s="951">
        <v>3276543</v>
      </c>
      <c r="U12" s="649">
        <v>15</v>
      </c>
      <c r="V12" s="649">
        <v>122</v>
      </c>
      <c r="W12" s="920">
        <v>6188.333333333333</v>
      </c>
      <c r="X12" s="952">
        <v>1.5597065584127536</v>
      </c>
      <c r="Y12" s="649"/>
      <c r="Z12" s="920">
        <v>51963.333333333336</v>
      </c>
      <c r="AA12" s="952">
        <v>2.3345913079941294</v>
      </c>
      <c r="AB12" s="649"/>
      <c r="AC12" s="920">
        <v>1115.6666666666667</v>
      </c>
      <c r="AD12" s="952">
        <v>1.5625948318121339</v>
      </c>
      <c r="AE12" s="649"/>
      <c r="AF12" s="649">
        <v>16</v>
      </c>
      <c r="AG12" s="649">
        <v>168</v>
      </c>
      <c r="AH12" s="920">
        <v>595.53160345000003</v>
      </c>
      <c r="AI12" s="952">
        <v>1.1551325622999999</v>
      </c>
      <c r="AJ12" s="649"/>
      <c r="AK12" s="649">
        <v>10</v>
      </c>
      <c r="AL12" s="649">
        <v>75</v>
      </c>
      <c r="AM12" s="920">
        <v>209.10832837999999</v>
      </c>
      <c r="AN12" s="952">
        <v>2.4548918715000001</v>
      </c>
      <c r="AO12" s="649"/>
      <c r="AP12" s="649" t="s">
        <v>763</v>
      </c>
      <c r="AQ12" s="649">
        <v>13</v>
      </c>
      <c r="AR12" s="649">
        <v>93</v>
      </c>
      <c r="AS12" s="920">
        <v>43397</v>
      </c>
      <c r="AT12" s="952">
        <v>2.4757245275118218</v>
      </c>
      <c r="AU12" s="649" t="s">
        <v>763</v>
      </c>
      <c r="AV12" s="649">
        <v>14</v>
      </c>
      <c r="AW12" s="649">
        <v>100</v>
      </c>
      <c r="AX12" s="920">
        <v>1843.864</v>
      </c>
      <c r="AY12" s="952">
        <v>2.824202469898212</v>
      </c>
      <c r="AZ12" s="649" t="s">
        <v>763</v>
      </c>
      <c r="BA12" s="649">
        <v>14</v>
      </c>
      <c r="BB12" s="649">
        <v>116</v>
      </c>
      <c r="BC12" s="920">
        <v>812.1</v>
      </c>
      <c r="BD12" s="952">
        <v>2.7987910160221392</v>
      </c>
      <c r="BE12" s="649"/>
      <c r="BF12" s="649" t="s">
        <v>763</v>
      </c>
      <c r="BG12" s="649">
        <v>15</v>
      </c>
      <c r="BH12" s="649">
        <v>106</v>
      </c>
      <c r="BI12" s="920">
        <v>590.19999999999993</v>
      </c>
      <c r="BJ12" s="952">
        <v>1.5231175541027167</v>
      </c>
    </row>
    <row r="13" spans="1:67">
      <c r="A13" s="728" t="s">
        <v>888</v>
      </c>
      <c r="B13" s="959"/>
      <c r="C13" s="959"/>
      <c r="D13" s="955">
        <v>5451.9803999999995</v>
      </c>
      <c r="E13" s="731">
        <v>5206.643</v>
      </c>
      <c r="F13" s="957">
        <f t="shared" si="0"/>
        <v>2.0558259304557129</v>
      </c>
      <c r="G13" s="954">
        <f t="shared" si="1"/>
        <v>2.115273673244912</v>
      </c>
      <c r="H13" s="951">
        <f t="shared" si="2"/>
        <v>9</v>
      </c>
      <c r="I13" s="954">
        <f t="shared" si="3"/>
        <v>4.6223358482939949E-3</v>
      </c>
      <c r="J13" s="954">
        <v>0.64616160395587618</v>
      </c>
      <c r="K13" s="954">
        <v>0.35383839604412376</v>
      </c>
      <c r="L13" s="951">
        <f t="shared" si="4"/>
        <v>4.7120073337081E-2</v>
      </c>
      <c r="M13" s="959"/>
      <c r="N13" s="959"/>
      <c r="O13" s="951" t="s">
        <v>888</v>
      </c>
      <c r="P13" s="953">
        <v>1179485.9955951078</v>
      </c>
      <c r="Q13" s="959"/>
      <c r="R13" s="951" t="s">
        <v>888</v>
      </c>
      <c r="S13" s="951">
        <v>2577435</v>
      </c>
      <c r="U13" s="649">
        <v>5</v>
      </c>
      <c r="V13" s="649">
        <v>41</v>
      </c>
      <c r="W13" s="920">
        <v>15964.333333333334</v>
      </c>
      <c r="X13" s="952">
        <v>4.0236480582850538</v>
      </c>
      <c r="Y13" s="649"/>
      <c r="Z13" s="920">
        <v>102858.66666666667</v>
      </c>
      <c r="AA13" s="952">
        <v>4.6211998682121784</v>
      </c>
      <c r="AB13" s="649"/>
      <c r="AC13" s="920">
        <v>2582</v>
      </c>
      <c r="AD13" s="952">
        <v>3.6163309134200148</v>
      </c>
      <c r="AE13" s="649"/>
      <c r="AF13" s="649">
        <v>6</v>
      </c>
      <c r="AG13" s="649">
        <v>68</v>
      </c>
      <c r="AH13" s="920">
        <v>2123.9715222</v>
      </c>
      <c r="AI13" s="952">
        <v>4.1197959143</v>
      </c>
      <c r="AJ13" s="649"/>
      <c r="AK13" s="649">
        <v>4</v>
      </c>
      <c r="AL13" s="649">
        <v>41</v>
      </c>
      <c r="AM13" s="920">
        <v>381.63822936000003</v>
      </c>
      <c r="AN13" s="952">
        <v>4.4803599854999998</v>
      </c>
      <c r="AO13" s="649"/>
      <c r="AP13" s="649" t="s">
        <v>508</v>
      </c>
      <c r="AQ13" s="649">
        <v>7</v>
      </c>
      <c r="AR13" s="649">
        <v>43</v>
      </c>
      <c r="AS13" s="920">
        <v>70916.5</v>
      </c>
      <c r="AT13" s="952">
        <v>4.0456648721177064</v>
      </c>
      <c r="AU13" s="649" t="s">
        <v>508</v>
      </c>
      <c r="AV13" s="649">
        <v>7</v>
      </c>
      <c r="AW13" s="649">
        <v>38</v>
      </c>
      <c r="AX13" s="920">
        <v>3239.0283333333336</v>
      </c>
      <c r="AY13" s="952">
        <v>4.9611423722521231</v>
      </c>
      <c r="AZ13" s="649" t="s">
        <v>508</v>
      </c>
      <c r="BA13" s="649">
        <v>7</v>
      </c>
      <c r="BB13" s="649">
        <v>39</v>
      </c>
      <c r="BC13" s="920">
        <v>1422.5333333333335</v>
      </c>
      <c r="BD13" s="952">
        <v>4.9025655871510416</v>
      </c>
      <c r="BE13" s="649"/>
      <c r="BF13" s="649" t="s">
        <v>508</v>
      </c>
      <c r="BG13" s="649">
        <v>6</v>
      </c>
      <c r="BH13" s="649">
        <v>52</v>
      </c>
      <c r="BI13" s="920">
        <v>1349.6853333333333</v>
      </c>
      <c r="BJ13" s="952">
        <v>3.4831064447898621</v>
      </c>
    </row>
    <row r="14" spans="1:67">
      <c r="A14" s="728" t="s">
        <v>883</v>
      </c>
      <c r="B14" s="959"/>
      <c r="C14" s="959"/>
      <c r="D14" s="955">
        <v>158.66999999999999</v>
      </c>
      <c r="E14" s="735">
        <v>160.15</v>
      </c>
      <c r="F14" s="957">
        <f t="shared" si="0"/>
        <v>5.9831084569821266E-2</v>
      </c>
      <c r="G14" s="954">
        <f t="shared" si="1"/>
        <v>0.48940199622469244</v>
      </c>
      <c r="H14" s="951">
        <f t="shared" si="2"/>
        <v>13</v>
      </c>
      <c r="I14" s="954">
        <f t="shared" si="3"/>
        <v>1.1013212598739897E-3</v>
      </c>
      <c r="J14" s="954">
        <v>0</v>
      </c>
      <c r="K14" s="954">
        <v>1</v>
      </c>
      <c r="L14" s="951">
        <v>0</v>
      </c>
      <c r="M14" s="959"/>
      <c r="N14" s="959"/>
      <c r="O14" s="951" t="s">
        <v>883</v>
      </c>
      <c r="P14" s="953">
        <v>144072.40265038976</v>
      </c>
      <c r="Q14" s="959"/>
      <c r="R14" s="951" t="s">
        <v>883</v>
      </c>
      <c r="S14" s="951">
        <v>324212</v>
      </c>
      <c r="U14" s="649">
        <v>6</v>
      </c>
      <c r="V14" s="649">
        <v>49</v>
      </c>
      <c r="W14" s="920">
        <v>13953.333333333334</v>
      </c>
      <c r="X14" s="952">
        <v>3.5167959351014209</v>
      </c>
      <c r="Y14" s="649"/>
      <c r="Z14" s="920">
        <v>88083.666666666672</v>
      </c>
      <c r="AA14" s="952">
        <v>3.9573935963099411</v>
      </c>
      <c r="AB14" s="649"/>
      <c r="AC14" s="920">
        <v>2812.6666666666665</v>
      </c>
      <c r="AD14" s="952">
        <v>3.9394010130955439</v>
      </c>
      <c r="AE14" s="649"/>
      <c r="AF14" s="649">
        <v>5</v>
      </c>
      <c r="AG14" s="649">
        <v>55</v>
      </c>
      <c r="AH14" s="920">
        <v>2446.1700230000001</v>
      </c>
      <c r="AI14" s="952">
        <v>4.7447534775999998</v>
      </c>
      <c r="AJ14" s="649"/>
      <c r="AK14" s="649">
        <v>13</v>
      </c>
      <c r="AL14" s="649">
        <v>91</v>
      </c>
      <c r="AM14" s="920">
        <v>153.48818542999999</v>
      </c>
      <c r="AN14" s="952">
        <v>1.8019220070999999</v>
      </c>
      <c r="AO14" s="649"/>
      <c r="AP14" s="649" t="s">
        <v>287</v>
      </c>
      <c r="AQ14" s="649">
        <v>10</v>
      </c>
      <c r="AR14" s="649">
        <v>70</v>
      </c>
      <c r="AS14" s="920">
        <v>55176.5</v>
      </c>
      <c r="AT14" s="952">
        <v>3.1477248287267794</v>
      </c>
      <c r="AU14" s="649" t="s">
        <v>287</v>
      </c>
      <c r="AV14" s="649">
        <v>9</v>
      </c>
      <c r="AW14" s="649">
        <v>52</v>
      </c>
      <c r="AX14" s="920">
        <v>2698.9433333333336</v>
      </c>
      <c r="AY14" s="952">
        <v>4.1339070712998973</v>
      </c>
      <c r="AZ14" s="649" t="s">
        <v>287</v>
      </c>
      <c r="BA14" s="649">
        <v>10</v>
      </c>
      <c r="BB14" s="649">
        <v>74</v>
      </c>
      <c r="BC14" s="920">
        <v>1083.4333333333334</v>
      </c>
      <c r="BD14" s="952">
        <v>3.7339040509694041</v>
      </c>
      <c r="BE14" s="649"/>
      <c r="BF14" s="649" t="s">
        <v>287</v>
      </c>
      <c r="BG14" s="649">
        <v>5</v>
      </c>
      <c r="BH14" s="649">
        <v>50</v>
      </c>
      <c r="BI14" s="920">
        <v>1393.7250000000001</v>
      </c>
      <c r="BJ14" s="952">
        <v>3.5967587480376304</v>
      </c>
    </row>
    <row r="15" spans="1:67">
      <c r="A15" t="s">
        <v>1403</v>
      </c>
      <c r="B15" s="959"/>
      <c r="C15" s="959"/>
      <c r="D15" s="955">
        <v>11587.275710000002</v>
      </c>
      <c r="E15" s="731">
        <v>11461.64026</v>
      </c>
      <c r="F15" s="957">
        <f t="shared" si="0"/>
        <v>4.3693153900475572</v>
      </c>
      <c r="G15" s="954">
        <f t="shared" si="1"/>
        <v>2.0860515316460368</v>
      </c>
      <c r="H15" s="951">
        <f t="shared" si="2"/>
        <v>10</v>
      </c>
      <c r="I15" s="954">
        <f t="shared" si="3"/>
        <v>4.442347184578305E-3</v>
      </c>
      <c r="J15" s="954">
        <v>0.44719103348236461</v>
      </c>
      <c r="K15" s="954">
        <v>0.55280896651763534</v>
      </c>
      <c r="L15" s="951">
        <f t="shared" si="4"/>
        <v>1.0961384858540446E-2</v>
      </c>
      <c r="M15" s="959"/>
      <c r="N15" s="959"/>
      <c r="O15" s="951" t="s">
        <v>1403</v>
      </c>
      <c r="P15" s="953">
        <v>2608367.8804361476</v>
      </c>
      <c r="Q15" s="959"/>
      <c r="R15" s="951" t="s">
        <v>1403</v>
      </c>
      <c r="S15" s="951">
        <v>5554645</v>
      </c>
      <c r="U15" s="649">
        <v>3</v>
      </c>
      <c r="V15" s="649">
        <v>17</v>
      </c>
      <c r="W15" s="920">
        <v>27342.666666666668</v>
      </c>
      <c r="X15" s="952">
        <v>6.8914413990563625</v>
      </c>
      <c r="Y15" s="649"/>
      <c r="Z15" s="920">
        <v>109659</v>
      </c>
      <c r="AA15" s="952">
        <v>4.9267229760086257</v>
      </c>
      <c r="AB15" s="649"/>
      <c r="AC15" s="920">
        <v>3842.3333333333335</v>
      </c>
      <c r="AD15" s="952">
        <v>5.3815448539881894</v>
      </c>
      <c r="AE15" s="649"/>
      <c r="AF15" s="649">
        <v>4</v>
      </c>
      <c r="AG15" s="649">
        <v>44</v>
      </c>
      <c r="AH15" s="920">
        <v>2863.9498165</v>
      </c>
      <c r="AI15" s="952">
        <v>5.5551068503999996</v>
      </c>
      <c r="AJ15" s="649"/>
      <c r="AK15" s="649">
        <v>5</v>
      </c>
      <c r="AL15" s="649">
        <v>42</v>
      </c>
      <c r="AM15" s="920">
        <v>377.59940476000003</v>
      </c>
      <c r="AN15" s="952">
        <v>4.4329449554</v>
      </c>
      <c r="AO15" s="649"/>
      <c r="AP15" s="649" t="s">
        <v>509</v>
      </c>
      <c r="AQ15" s="649">
        <v>8</v>
      </c>
      <c r="AR15" s="649">
        <v>47</v>
      </c>
      <c r="AS15" s="920">
        <v>68155</v>
      </c>
      <c r="AT15" s="952">
        <v>3.8881260265126212</v>
      </c>
      <c r="AU15" s="649" t="s">
        <v>509</v>
      </c>
      <c r="AV15" s="649">
        <v>8</v>
      </c>
      <c r="AW15" s="649">
        <v>43</v>
      </c>
      <c r="AX15" s="920">
        <v>2925.1533333333336</v>
      </c>
      <c r="AY15" s="952">
        <v>4.4803875279472827</v>
      </c>
      <c r="AZ15" s="649" t="s">
        <v>509</v>
      </c>
      <c r="BA15" s="649">
        <v>8</v>
      </c>
      <c r="BB15" s="649">
        <v>48</v>
      </c>
      <c r="BC15" s="920">
        <v>1333.1333333333334</v>
      </c>
      <c r="BD15" s="952">
        <v>4.5944607763735767</v>
      </c>
      <c r="BE15" s="649"/>
      <c r="BF15" s="649" t="s">
        <v>509</v>
      </c>
      <c r="BG15" s="649">
        <v>3</v>
      </c>
      <c r="BH15" s="649">
        <v>16</v>
      </c>
      <c r="BI15" s="920">
        <v>3160.6716666666666</v>
      </c>
      <c r="BJ15" s="952">
        <v>8.1566833247290589</v>
      </c>
    </row>
    <row r="16" spans="1:67">
      <c r="A16" t="s">
        <v>1404</v>
      </c>
      <c r="B16" s="959"/>
      <c r="C16" s="959"/>
      <c r="D16" s="955">
        <v>9344.7674799999986</v>
      </c>
      <c r="E16" s="731">
        <v>9471.6230799999994</v>
      </c>
      <c r="F16" s="957">
        <f t="shared" si="0"/>
        <v>3.5237131996041815</v>
      </c>
      <c r="G16" s="954">
        <f t="shared" si="1"/>
        <v>1.5558649292492566</v>
      </c>
      <c r="H16" s="951">
        <f t="shared" si="2"/>
        <v>12</v>
      </c>
      <c r="I16" s="954">
        <f t="shared" si="3"/>
        <v>3.4418949179561547E-3</v>
      </c>
      <c r="J16" s="954">
        <v>0.49981211517528296</v>
      </c>
      <c r="K16" s="954">
        <v>0.50018788482471699</v>
      </c>
      <c r="L16" s="951">
        <f t="shared" si="4"/>
        <v>-1.3393227214442827E-2</v>
      </c>
      <c r="M16" s="959"/>
      <c r="N16" s="959"/>
      <c r="O16" s="951" t="s">
        <v>1404</v>
      </c>
      <c r="P16" s="953">
        <v>2715006.6177932741</v>
      </c>
      <c r="Q16" s="959"/>
      <c r="R16" s="951" t="s">
        <v>1404</v>
      </c>
      <c r="S16" s="951">
        <v>6006156</v>
      </c>
      <c r="U16" s="649">
        <v>10</v>
      </c>
      <c r="V16" s="649">
        <v>75</v>
      </c>
      <c r="W16" s="920">
        <v>10094</v>
      </c>
      <c r="X16" s="952">
        <v>2.5440901697740377</v>
      </c>
      <c r="Y16" s="649"/>
      <c r="Z16" s="920">
        <v>145097</v>
      </c>
      <c r="AA16" s="952">
        <v>6.5188696199119418</v>
      </c>
      <c r="AB16" s="649"/>
      <c r="AC16" s="920">
        <v>2345.3333333333335</v>
      </c>
      <c r="AD16" s="952">
        <v>3.284857256238475</v>
      </c>
      <c r="AE16" s="649"/>
      <c r="AF16" s="649">
        <v>8</v>
      </c>
      <c r="AG16" s="649">
        <v>76</v>
      </c>
      <c r="AH16" s="920">
        <v>1980.7749967</v>
      </c>
      <c r="AI16" s="952">
        <v>3.8420424443000001</v>
      </c>
      <c r="AJ16" s="649"/>
      <c r="AK16" s="649">
        <v>11</v>
      </c>
      <c r="AL16" s="649">
        <v>84</v>
      </c>
      <c r="AM16" s="920">
        <v>177.00639731000001</v>
      </c>
      <c r="AN16" s="952">
        <v>2.0780213266000001</v>
      </c>
      <c r="AO16" s="649"/>
      <c r="AP16" s="649" t="s">
        <v>293</v>
      </c>
      <c r="AQ16" s="649">
        <v>4</v>
      </c>
      <c r="AR16" s="649">
        <v>31</v>
      </c>
      <c r="AS16" s="920">
        <v>87922</v>
      </c>
      <c r="AT16" s="952">
        <v>5.015799523190414</v>
      </c>
      <c r="AU16" s="649" t="s">
        <v>293</v>
      </c>
      <c r="AV16" s="649">
        <v>4</v>
      </c>
      <c r="AW16" s="649">
        <v>23</v>
      </c>
      <c r="AX16" s="920">
        <v>4047.4670000000001</v>
      </c>
      <c r="AY16" s="952">
        <v>6.1994085779816226</v>
      </c>
      <c r="AZ16" s="649" t="s">
        <v>293</v>
      </c>
      <c r="BA16" s="649">
        <v>4</v>
      </c>
      <c r="BB16" s="649">
        <v>27</v>
      </c>
      <c r="BC16" s="920">
        <v>1731.0999999999997</v>
      </c>
      <c r="BD16" s="952">
        <v>5.9659981872133043</v>
      </c>
      <c r="BE16" s="649"/>
      <c r="BF16" s="649" t="s">
        <v>293</v>
      </c>
      <c r="BG16" s="649">
        <v>11</v>
      </c>
      <c r="BH16" s="649">
        <v>87</v>
      </c>
      <c r="BI16" s="920">
        <v>738.54499999999996</v>
      </c>
      <c r="BJ16" s="952">
        <v>1.9059485835221806</v>
      </c>
    </row>
    <row r="17" spans="1:62">
      <c r="A17" s="728" t="s">
        <v>1461</v>
      </c>
      <c r="B17" s="959"/>
      <c r="C17" s="959"/>
      <c r="D17" s="955">
        <v>106603.90507000004</v>
      </c>
      <c r="E17" s="731">
        <v>105816.76817000001</v>
      </c>
      <c r="F17" s="957">
        <f t="shared" si="0"/>
        <v>40.198066803531674</v>
      </c>
      <c r="G17" s="954">
        <f t="shared" si="1"/>
        <v>8.8632990193775747</v>
      </c>
      <c r="H17" s="951">
        <f t="shared" si="2"/>
        <v>1</v>
      </c>
      <c r="I17" s="954">
        <f t="shared" si="3"/>
        <v>1.7513676260807642E-2</v>
      </c>
      <c r="J17" s="954">
        <v>0.66966141768562526</v>
      </c>
      <c r="K17" s="954">
        <v>0.3303385823143748</v>
      </c>
      <c r="L17" s="951">
        <f t="shared" si="4"/>
        <v>7.4386783268172718E-3</v>
      </c>
      <c r="M17" s="959"/>
      <c r="N17" s="959"/>
      <c r="O17" s="951" t="s">
        <v>871</v>
      </c>
      <c r="P17" s="953">
        <v>6086894.8062355015</v>
      </c>
      <c r="Q17" s="959"/>
      <c r="R17" s="951" t="s">
        <v>871</v>
      </c>
      <c r="S17" s="951">
        <v>12027565</v>
      </c>
      <c r="U17" s="649">
        <v>8</v>
      </c>
      <c r="V17" s="649">
        <v>58</v>
      </c>
      <c r="W17" s="920">
        <v>12950</v>
      </c>
      <c r="X17" s="952">
        <v>3.263915959834931</v>
      </c>
      <c r="Y17" s="649"/>
      <c r="Z17" s="920">
        <v>109934</v>
      </c>
      <c r="AA17" s="952">
        <v>4.9390780842843016</v>
      </c>
      <c r="AB17" s="649"/>
      <c r="AC17" s="920">
        <v>2160</v>
      </c>
      <c r="AD17" s="952">
        <v>3.0252807021639163</v>
      </c>
      <c r="AE17" s="649"/>
      <c r="AF17" s="649">
        <v>9</v>
      </c>
      <c r="AG17" s="649">
        <v>91</v>
      </c>
      <c r="AH17" s="920">
        <v>1657.5869253000001</v>
      </c>
      <c r="AI17" s="952">
        <v>3.2151654442000002</v>
      </c>
      <c r="AJ17" s="649"/>
      <c r="AK17" s="649">
        <v>7</v>
      </c>
      <c r="AL17" s="649">
        <v>64</v>
      </c>
      <c r="AM17" s="920">
        <v>263.32447089999999</v>
      </c>
      <c r="AN17" s="952">
        <v>3.0913790387</v>
      </c>
      <c r="AO17" s="649"/>
      <c r="AP17" s="649" t="s">
        <v>510</v>
      </c>
      <c r="AQ17" s="649">
        <v>5</v>
      </c>
      <c r="AR17" s="649">
        <v>33</v>
      </c>
      <c r="AS17" s="920">
        <v>85565.5</v>
      </c>
      <c r="AT17" s="952">
        <v>4.8813652339749938</v>
      </c>
      <c r="AU17" s="649" t="s">
        <v>510</v>
      </c>
      <c r="AV17" s="649">
        <v>5</v>
      </c>
      <c r="AW17" s="649">
        <v>30</v>
      </c>
      <c r="AX17" s="920">
        <v>3630.0813333333335</v>
      </c>
      <c r="AY17" s="952">
        <v>5.5601089166724851</v>
      </c>
      <c r="AZ17" s="649" t="s">
        <v>510</v>
      </c>
      <c r="BA17" s="649">
        <v>5</v>
      </c>
      <c r="BB17" s="649">
        <v>32</v>
      </c>
      <c r="BC17" s="920">
        <v>1634.2666666666664</v>
      </c>
      <c r="BD17" s="952">
        <v>5.6322754149133285</v>
      </c>
      <c r="BE17" s="649"/>
      <c r="BF17" s="649" t="s">
        <v>510</v>
      </c>
      <c r="BG17" s="649">
        <v>8</v>
      </c>
      <c r="BH17" s="649">
        <v>70</v>
      </c>
      <c r="BI17" s="920">
        <v>1003.1563333333334</v>
      </c>
      <c r="BJ17" s="952">
        <v>2.5888258570134131</v>
      </c>
    </row>
    <row r="18" spans="1:62">
      <c r="A18" s="728" t="s">
        <v>1405</v>
      </c>
      <c r="B18" s="959"/>
      <c r="C18" s="959"/>
      <c r="D18" s="955">
        <v>6429.6261999999988</v>
      </c>
      <c r="E18" s="731">
        <v>6372.9038</v>
      </c>
      <c r="F18" s="957">
        <f t="shared" si="0"/>
        <v>2.4244753823945202</v>
      </c>
      <c r="G18" s="954">
        <f t="shared" si="1"/>
        <v>1.9275511033098542</v>
      </c>
      <c r="H18" s="951">
        <f t="shared" si="2"/>
        <v>11</v>
      </c>
      <c r="I18" s="954">
        <f t="shared" si="3"/>
        <v>4.2283637395831011E-3</v>
      </c>
      <c r="J18" s="954">
        <v>0.62952962957628844</v>
      </c>
      <c r="K18" s="954">
        <v>0.37047037042371145</v>
      </c>
      <c r="L18" s="951">
        <f t="shared" si="4"/>
        <v>8.9005580156409619E-3</v>
      </c>
      <c r="M18" s="959"/>
      <c r="N18" s="959"/>
      <c r="O18" s="951" t="s">
        <v>1405</v>
      </c>
      <c r="P18" s="953">
        <v>1520594.3944250012</v>
      </c>
      <c r="Q18" s="959"/>
      <c r="R18" s="951" t="s">
        <v>1405</v>
      </c>
      <c r="S18" s="951">
        <v>3335645</v>
      </c>
      <c r="U18" s="649">
        <v>4</v>
      </c>
      <c r="V18" s="649">
        <v>18</v>
      </c>
      <c r="W18" s="920">
        <v>26758.666666666668</v>
      </c>
      <c r="X18" s="952">
        <v>6.7442501310607179</v>
      </c>
      <c r="Y18" s="649"/>
      <c r="Z18" s="920">
        <v>153144</v>
      </c>
      <c r="AA18" s="952">
        <v>6.8804025518914544</v>
      </c>
      <c r="AB18" s="649"/>
      <c r="AC18" s="920">
        <v>5066</v>
      </c>
      <c r="AD18" s="952">
        <v>7.0954037209085179</v>
      </c>
      <c r="AE18" s="649"/>
      <c r="AF18" s="649">
        <v>3</v>
      </c>
      <c r="AG18" s="649">
        <v>27</v>
      </c>
      <c r="AH18" s="920">
        <v>3988.2497248999998</v>
      </c>
      <c r="AI18" s="952">
        <v>7.7358734571000003</v>
      </c>
      <c r="AJ18" s="649"/>
      <c r="AK18" s="649">
        <v>3</v>
      </c>
      <c r="AL18" s="649">
        <v>23</v>
      </c>
      <c r="AM18" s="920">
        <v>590.68033678999996</v>
      </c>
      <c r="AN18" s="952">
        <v>6.9344744357000003</v>
      </c>
      <c r="AO18" s="649"/>
      <c r="AP18" s="649" t="s">
        <v>290</v>
      </c>
      <c r="AQ18" s="649">
        <v>3</v>
      </c>
      <c r="AR18" s="649">
        <v>17</v>
      </c>
      <c r="AS18" s="920">
        <v>125800</v>
      </c>
      <c r="AT18" s="952">
        <v>7.1766745526415914</v>
      </c>
      <c r="AU18" s="649" t="s">
        <v>290</v>
      </c>
      <c r="AV18" s="649">
        <v>3</v>
      </c>
      <c r="AW18" s="649">
        <v>13</v>
      </c>
      <c r="AX18" s="920">
        <v>4927.0306666666665</v>
      </c>
      <c r="AY18" s="952">
        <v>7.5466152482310163</v>
      </c>
      <c r="AZ18" s="649" t="s">
        <v>290</v>
      </c>
      <c r="BA18" s="649">
        <v>3</v>
      </c>
      <c r="BB18" s="649">
        <v>15</v>
      </c>
      <c r="BC18" s="920">
        <v>2134.8333333333335</v>
      </c>
      <c r="BD18" s="952">
        <v>7.3574096220144449</v>
      </c>
      <c r="BE18" s="649"/>
      <c r="BF18" s="649" t="s">
        <v>290</v>
      </c>
      <c r="BG18" s="649">
        <v>4</v>
      </c>
      <c r="BH18" s="649">
        <v>23</v>
      </c>
      <c r="BI18" s="920">
        <v>2534.0773333333332</v>
      </c>
      <c r="BJ18" s="952">
        <v>6.5396436290305004</v>
      </c>
    </row>
    <row r="19" spans="1:62">
      <c r="A19" t="s">
        <v>1406</v>
      </c>
      <c r="B19" s="959"/>
      <c r="C19" s="959"/>
      <c r="D19" s="955">
        <v>12446.531599999998</v>
      </c>
      <c r="E19" s="731">
        <v>12273.313250000001</v>
      </c>
      <c r="F19" s="957">
        <f t="shared" si="0"/>
        <v>4.6933225232277858</v>
      </c>
      <c r="G19" s="954">
        <f t="shared" si="1"/>
        <v>2.1170652734479707</v>
      </c>
      <c r="H19" s="951">
        <f t="shared" si="2"/>
        <v>8</v>
      </c>
      <c r="I19" s="954">
        <f t="shared" si="3"/>
        <v>4.680947130075155E-3</v>
      </c>
      <c r="J19" s="954">
        <v>0.53108075505950592</v>
      </c>
      <c r="K19" s="954">
        <v>0.4689192449404942</v>
      </c>
      <c r="L19" s="951">
        <f t="shared" si="4"/>
        <v>1.4113413914535047E-2</v>
      </c>
      <c r="M19" s="959"/>
      <c r="N19" s="959"/>
      <c r="O19" s="951" t="s">
        <v>1406</v>
      </c>
      <c r="P19" s="953">
        <v>2658977.1800734187</v>
      </c>
      <c r="Q19" s="959"/>
      <c r="R19" s="951" t="s">
        <v>1406</v>
      </c>
      <c r="S19" s="951">
        <v>5879144</v>
      </c>
      <c r="U19" s="649">
        <v>2</v>
      </c>
      <c r="V19" s="649">
        <v>5</v>
      </c>
      <c r="W19" s="920">
        <v>47543.666666666664</v>
      </c>
      <c r="X19" s="952">
        <v>11.982898256556396</v>
      </c>
      <c r="Y19" s="649"/>
      <c r="Z19" s="920">
        <v>236005.33333333334</v>
      </c>
      <c r="AA19" s="952">
        <v>10.603168898074102</v>
      </c>
      <c r="AB19" s="649"/>
      <c r="AC19" s="920">
        <v>8040.333333333333</v>
      </c>
      <c r="AD19" s="952">
        <v>11.261233922360466</v>
      </c>
      <c r="AE19" s="649"/>
      <c r="AF19" s="649">
        <v>2</v>
      </c>
      <c r="AG19" s="649">
        <v>8</v>
      </c>
      <c r="AH19" s="920">
        <v>6581.0414902000002</v>
      </c>
      <c r="AI19" s="952">
        <v>12.765024181999999</v>
      </c>
      <c r="AJ19" s="649"/>
      <c r="AK19" s="649">
        <v>2</v>
      </c>
      <c r="AL19" s="649">
        <v>4</v>
      </c>
      <c r="AM19" s="920">
        <v>1627.6905268</v>
      </c>
      <c r="AN19" s="952">
        <v>19.108776174999999</v>
      </c>
      <c r="AO19" s="649"/>
      <c r="AP19" s="649" t="s">
        <v>291</v>
      </c>
      <c r="AQ19" s="649">
        <v>2</v>
      </c>
      <c r="AR19" s="649">
        <v>8</v>
      </c>
      <c r="AS19" s="920">
        <v>168952</v>
      </c>
      <c r="AT19" s="952">
        <v>9.6384222497448526</v>
      </c>
      <c r="AU19" s="649" t="s">
        <v>291</v>
      </c>
      <c r="AV19" s="649">
        <v>2</v>
      </c>
      <c r="AW19" s="649">
        <v>6</v>
      </c>
      <c r="AX19" s="920">
        <v>6338.8440000000001</v>
      </c>
      <c r="AY19" s="952">
        <v>9.7090560264203116</v>
      </c>
      <c r="AZ19" s="649" t="s">
        <v>291</v>
      </c>
      <c r="BA19" s="649">
        <v>2</v>
      </c>
      <c r="BB19" s="649">
        <v>6</v>
      </c>
      <c r="BC19" s="920">
        <v>2884.6333333333332</v>
      </c>
      <c r="BD19" s="952">
        <v>9.9414922520026234</v>
      </c>
      <c r="BE19" s="649"/>
      <c r="BF19" s="649" t="s">
        <v>291</v>
      </c>
      <c r="BG19" s="649">
        <v>2</v>
      </c>
      <c r="BH19" s="649">
        <v>5</v>
      </c>
      <c r="BI19" s="920">
        <v>4686.7036666666663</v>
      </c>
      <c r="BJ19" s="952">
        <v>12.094884150419464</v>
      </c>
    </row>
    <row r="20" spans="1:62">
      <c r="A20" s="729" t="s">
        <v>1407</v>
      </c>
      <c r="B20" s="959"/>
      <c r="C20" s="959"/>
      <c r="D20" s="955">
        <v>30555.033479999998</v>
      </c>
      <c r="E20" s="731">
        <v>30559.533579999999</v>
      </c>
      <c r="F20" s="957">
        <f t="shared" si="0"/>
        <v>11.521653697457618</v>
      </c>
      <c r="G20" s="954">
        <f t="shared" si="1"/>
        <v>5.3317659092967364</v>
      </c>
      <c r="H20" s="951">
        <f t="shared" si="2"/>
        <v>2</v>
      </c>
      <c r="I20" s="954">
        <f t="shared" si="3"/>
        <v>1.1874491622979051E-2</v>
      </c>
      <c r="J20" s="954">
        <v>0.58225172659833713</v>
      </c>
      <c r="K20" s="954">
        <v>0.41774827340166276</v>
      </c>
      <c r="L20" s="951">
        <f t="shared" si="4"/>
        <v>-1.4725682864957887E-4</v>
      </c>
      <c r="M20" s="959"/>
      <c r="N20" s="959"/>
      <c r="O20" s="951" t="s">
        <v>1407</v>
      </c>
      <c r="P20" s="953">
        <v>2573165.609959343</v>
      </c>
      <c r="Q20" s="959"/>
      <c r="R20" s="951" t="s">
        <v>1407</v>
      </c>
      <c r="S20" s="951">
        <v>5730753</v>
      </c>
      <c r="U20" s="649" t="s">
        <v>511</v>
      </c>
      <c r="V20" s="649" t="s">
        <v>512</v>
      </c>
      <c r="W20" s="920">
        <v>396762.66666666669</v>
      </c>
      <c r="X20" s="952">
        <v>100</v>
      </c>
      <c r="Y20" s="649"/>
      <c r="Z20" s="920">
        <v>2225800</v>
      </c>
      <c r="AA20" s="952">
        <v>100</v>
      </c>
      <c r="AB20" s="649"/>
      <c r="AC20" s="920">
        <v>71398.333333333328</v>
      </c>
      <c r="AD20" s="952">
        <v>100</v>
      </c>
      <c r="AE20" s="649"/>
      <c r="AF20" s="649" t="s">
        <v>511</v>
      </c>
      <c r="AG20" s="649" t="s">
        <v>511</v>
      </c>
      <c r="AH20" s="920">
        <v>51555.260657609062</v>
      </c>
      <c r="AI20" s="952">
        <v>100</v>
      </c>
      <c r="AJ20" s="649"/>
      <c r="AK20" s="649" t="s">
        <v>511</v>
      </c>
      <c r="AL20" s="649" t="s">
        <v>511</v>
      </c>
      <c r="AM20" s="920">
        <v>8518.0260201000001</v>
      </c>
      <c r="AN20" s="952">
        <v>100</v>
      </c>
      <c r="AO20" s="649"/>
      <c r="AP20" s="649" t="s">
        <v>271</v>
      </c>
      <c r="AQ20" s="649" t="s">
        <v>511</v>
      </c>
      <c r="AR20" s="649" t="s">
        <v>512</v>
      </c>
      <c r="AS20" s="920">
        <v>1752901</v>
      </c>
      <c r="AT20" s="952">
        <v>100</v>
      </c>
      <c r="AU20" s="649" t="s">
        <v>271</v>
      </c>
      <c r="AV20" s="649" t="s">
        <v>511</v>
      </c>
      <c r="AW20" s="649" t="s">
        <v>512</v>
      </c>
      <c r="AX20" s="920">
        <v>65287.953666666661</v>
      </c>
      <c r="AY20" s="952">
        <v>100</v>
      </c>
      <c r="AZ20" s="649" t="s">
        <v>271</v>
      </c>
      <c r="BA20" s="649" t="s">
        <v>511</v>
      </c>
      <c r="BB20" s="649" t="s">
        <v>512</v>
      </c>
      <c r="BC20" s="920">
        <v>29016.100000000002</v>
      </c>
      <c r="BD20" s="952">
        <v>100</v>
      </c>
      <c r="BE20" s="649"/>
      <c r="BF20" s="649" t="s">
        <v>271</v>
      </c>
      <c r="BG20" s="649" t="s">
        <v>511</v>
      </c>
      <c r="BH20" s="649" t="s">
        <v>512</v>
      </c>
      <c r="BI20" s="920">
        <v>38749.471333333327</v>
      </c>
      <c r="BJ20" s="952">
        <v>100</v>
      </c>
    </row>
    <row r="21" spans="1:62">
      <c r="A21" s="728" t="s">
        <v>510</v>
      </c>
      <c r="B21" s="959"/>
      <c r="C21" s="959"/>
      <c r="D21" s="955">
        <v>8087.0902799999949</v>
      </c>
      <c r="E21" s="731">
        <v>8084.4971099999993</v>
      </c>
      <c r="F21" s="957">
        <f t="shared" si="0"/>
        <v>3.0494698586151086</v>
      </c>
      <c r="G21" s="954">
        <f t="shared" si="1"/>
        <v>2.2090732649121012</v>
      </c>
      <c r="H21" s="951">
        <f t="shared" si="2"/>
        <v>7</v>
      </c>
      <c r="I21" s="954">
        <f t="shared" si="3"/>
        <v>4.7089287837947637E-3</v>
      </c>
      <c r="J21" s="954">
        <v>0.60266526417459487</v>
      </c>
      <c r="K21" s="954">
        <v>0.39733473582540513</v>
      </c>
      <c r="L21" s="951">
        <f t="shared" si="4"/>
        <v>3.2075835574088698E-4</v>
      </c>
      <c r="M21" s="959"/>
      <c r="N21" s="959"/>
      <c r="O21" s="951" t="s">
        <v>510</v>
      </c>
      <c r="P21" s="953">
        <v>1717394.9004773197</v>
      </c>
      <c r="Q21" s="959"/>
      <c r="R21" s="951" t="s">
        <v>510</v>
      </c>
      <c r="S21" s="951">
        <v>3660852</v>
      </c>
      <c r="U21" s="649"/>
      <c r="V21" s="649"/>
      <c r="W21" s="920"/>
      <c r="X21" s="952"/>
      <c r="Y21" s="649"/>
      <c r="Z21" s="920"/>
      <c r="AA21" s="952"/>
      <c r="AB21" s="649"/>
      <c r="AC21" s="920"/>
      <c r="AD21" s="952"/>
      <c r="AE21" s="649"/>
      <c r="AF21" s="649"/>
      <c r="AG21" s="649"/>
      <c r="AH21" s="920"/>
      <c r="AI21" s="952"/>
      <c r="AJ21" s="649"/>
      <c r="AK21" s="649"/>
      <c r="AL21" s="649"/>
      <c r="AM21" s="920"/>
      <c r="AN21" s="952"/>
      <c r="AO21" s="649"/>
      <c r="AP21" s="649"/>
      <c r="AQ21" s="649"/>
      <c r="AR21" s="649"/>
      <c r="AS21" s="920"/>
      <c r="AT21" s="952"/>
      <c r="AU21" s="649"/>
      <c r="AV21" s="649"/>
      <c r="AW21" s="649"/>
      <c r="AX21" s="920"/>
      <c r="AY21" s="952"/>
      <c r="AZ21" s="649"/>
      <c r="BA21" s="649"/>
      <c r="BB21" s="649"/>
      <c r="BC21" s="920"/>
      <c r="BD21" s="952"/>
      <c r="BE21" s="649"/>
      <c r="BF21" s="649"/>
      <c r="BG21" s="649"/>
      <c r="BH21" s="649"/>
      <c r="BI21" s="920"/>
      <c r="BJ21" s="952"/>
    </row>
    <row r="22" spans="1:62">
      <c r="A22" s="728" t="s">
        <v>1464</v>
      </c>
      <c r="B22" s="959"/>
      <c r="C22" s="959"/>
      <c r="D22" s="955">
        <v>19521.911770000017</v>
      </c>
      <c r="E22" s="732">
        <v>20371.334439999999</v>
      </c>
      <c r="F22" s="957">
        <f t="shared" si="0"/>
        <v>7.3612980026183923</v>
      </c>
      <c r="G22" s="954">
        <f t="shared" si="1"/>
        <v>3.9408947417955904</v>
      </c>
      <c r="H22" s="951">
        <f t="shared" si="2"/>
        <v>4</v>
      </c>
      <c r="I22" s="954">
        <f t="shared" si="3"/>
        <v>8.8604393068970142E-3</v>
      </c>
      <c r="J22" s="954">
        <v>0.57310192422819295</v>
      </c>
      <c r="K22" s="954">
        <v>0.42689807577180711</v>
      </c>
      <c r="L22" s="951">
        <f t="shared" si="4"/>
        <v>-4.1696957678535949E-2</v>
      </c>
      <c r="M22" s="959"/>
      <c r="N22" s="959"/>
      <c r="O22" s="951" t="s">
        <v>290</v>
      </c>
      <c r="P22" s="953">
        <v>2203266.8013203423</v>
      </c>
      <c r="Q22" s="959"/>
      <c r="R22" s="951" t="s">
        <v>290</v>
      </c>
      <c r="S22" s="951">
        <v>4953675.0025211899</v>
      </c>
      <c r="U22" s="649"/>
      <c r="V22" s="649"/>
      <c r="W22" s="649"/>
      <c r="X22" s="649"/>
      <c r="Y22" s="649"/>
      <c r="Z22" s="649"/>
      <c r="AA22" s="649"/>
      <c r="AB22" s="649"/>
      <c r="AC22" s="649"/>
      <c r="AD22" s="649"/>
      <c r="AE22" s="649"/>
      <c r="AF22" s="649"/>
      <c r="AG22" s="649"/>
      <c r="AH22" s="649"/>
      <c r="AI22" s="649"/>
      <c r="AJ22" s="649"/>
      <c r="AK22" s="649"/>
      <c r="AL22" s="649"/>
      <c r="AM22" s="649"/>
      <c r="AN22" s="649"/>
      <c r="AO22" s="649"/>
      <c r="AP22" s="649"/>
      <c r="AQ22" s="649"/>
      <c r="AR22" s="649"/>
      <c r="AS22" s="649"/>
      <c r="AT22" s="649"/>
      <c r="AU22" s="649"/>
      <c r="AV22" s="649"/>
      <c r="AW22" s="649"/>
      <c r="AX22" s="649"/>
      <c r="AY22" s="649"/>
      <c r="AZ22" s="649"/>
      <c r="BA22" s="649"/>
      <c r="BB22" s="649"/>
      <c r="BC22" s="649"/>
      <c r="BD22" s="649"/>
      <c r="BE22" s="649"/>
      <c r="BF22" s="649"/>
      <c r="BG22" s="649"/>
      <c r="BH22" s="649"/>
      <c r="BI22" s="649"/>
      <c r="BJ22" s="649"/>
    </row>
    <row r="23" spans="1:62">
      <c r="A23" s="730" t="s">
        <v>1462</v>
      </c>
      <c r="B23" s="959"/>
      <c r="C23" s="959"/>
      <c r="D23" s="956">
        <v>265196.59662000003</v>
      </c>
      <c r="E23" s="733">
        <v>262055.11661000003</v>
      </c>
      <c r="F23" s="957">
        <f t="shared" si="0"/>
        <v>100</v>
      </c>
      <c r="G23" s="954">
        <f t="shared" si="1"/>
        <v>4.1633514185994063</v>
      </c>
      <c r="H23" s="951" t="s">
        <v>916</v>
      </c>
      <c r="I23" s="954">
        <f t="shared" si="3"/>
        <v>8.882010689232769E-3</v>
      </c>
      <c r="J23" s="954">
        <v>0.6124772657814388</v>
      </c>
      <c r="K23" s="954">
        <v>0.3875227342185617</v>
      </c>
      <c r="L23" s="951">
        <f t="shared" si="4"/>
        <v>1.1987859846580535E-2</v>
      </c>
      <c r="M23" s="959"/>
      <c r="N23" s="959"/>
      <c r="O23" s="951" t="s">
        <v>1462</v>
      </c>
      <c r="P23" s="953">
        <v>29857720.948420499</v>
      </c>
      <c r="Q23" s="959"/>
      <c r="R23" s="951" t="s">
        <v>1462</v>
      </c>
      <c r="S23" s="951">
        <v>63697865.002521187</v>
      </c>
      <c r="U23" s="649"/>
      <c r="V23" s="649"/>
      <c r="W23" s="649"/>
      <c r="X23" s="649"/>
      <c r="Y23" s="649"/>
      <c r="Z23" s="649"/>
      <c r="AA23" s="649"/>
      <c r="AB23" s="649"/>
      <c r="AC23" s="649"/>
      <c r="AD23" s="649"/>
      <c r="AE23" s="649"/>
      <c r="AF23" s="649"/>
      <c r="AG23" s="649"/>
      <c r="AH23" s="649"/>
      <c r="AI23" s="649"/>
      <c r="AJ23" s="649"/>
      <c r="AK23" s="649"/>
      <c r="AL23" s="649"/>
      <c r="AM23" s="649"/>
      <c r="AN23" s="649"/>
      <c r="AO23" s="649"/>
      <c r="AP23" s="649"/>
      <c r="AQ23" s="649"/>
      <c r="AR23" s="649"/>
      <c r="AS23" s="649"/>
      <c r="AT23" s="649"/>
      <c r="AU23" s="649"/>
      <c r="AV23" s="649"/>
      <c r="AW23" s="649"/>
      <c r="AX23" s="649"/>
      <c r="AY23" s="649"/>
      <c r="AZ23" s="649"/>
      <c r="BA23" s="649"/>
      <c r="BB23" s="649"/>
      <c r="BC23" s="649"/>
      <c r="BD23" s="649"/>
      <c r="BE23" s="649"/>
      <c r="BF23" s="649"/>
      <c r="BG23" s="649"/>
      <c r="BH23" s="649"/>
      <c r="BI23" s="649"/>
      <c r="BJ23" s="649"/>
    </row>
    <row r="24" spans="1:62" s="37" customFormat="1">
      <c r="A24" s="37" t="s">
        <v>519</v>
      </c>
    </row>
    <row r="25" spans="1:62">
      <c r="D25">
        <v>2009</v>
      </c>
    </row>
    <row r="26" spans="1:62" s="55" customFormat="1" ht="34.5">
      <c r="A26" s="730" t="s">
        <v>273</v>
      </c>
      <c r="B26" s="164" t="s">
        <v>514</v>
      </c>
      <c r="C26" s="164" t="s">
        <v>1137</v>
      </c>
      <c r="D26" s="164" t="s">
        <v>516</v>
      </c>
      <c r="E26" s="164" t="s">
        <v>517</v>
      </c>
      <c r="F26" s="164" t="s">
        <v>898</v>
      </c>
      <c r="G26" s="689" t="s">
        <v>513</v>
      </c>
      <c r="H26" s="689" t="s">
        <v>514</v>
      </c>
      <c r="I26" s="689" t="s">
        <v>515</v>
      </c>
      <c r="J26" s="689" t="s">
        <v>518</v>
      </c>
      <c r="K26" s="671" t="s">
        <v>899</v>
      </c>
      <c r="L26" s="671" t="s">
        <v>900</v>
      </c>
    </row>
    <row r="27" spans="1:62">
      <c r="A27" s="162" t="s">
        <v>1402</v>
      </c>
      <c r="B27" s="162">
        <v>2011</v>
      </c>
      <c r="C27" s="162">
        <v>6655</v>
      </c>
      <c r="D27" s="162">
        <v>2237</v>
      </c>
      <c r="E27" s="257">
        <v>7.1684932384797797</v>
      </c>
      <c r="F27" s="818">
        <v>2</v>
      </c>
      <c r="G27" s="690" t="s">
        <v>1402</v>
      </c>
      <c r="H27" s="691">
        <v>2013</v>
      </c>
      <c r="I27" s="690">
        <v>7367.9769869199999</v>
      </c>
      <c r="J27" s="692">
        <v>22.965361677274572</v>
      </c>
      <c r="K27" s="161">
        <v>2</v>
      </c>
      <c r="L27" s="693">
        <f>(I27-C27)/C27</f>
        <v>0.10713403259504131</v>
      </c>
    </row>
    <row r="28" spans="1:62">
      <c r="A28" s="162" t="s">
        <v>1403</v>
      </c>
      <c r="B28" s="162">
        <v>2011</v>
      </c>
      <c r="C28" s="162">
        <v>3341</v>
      </c>
      <c r="D28" s="162">
        <v>817</v>
      </c>
      <c r="E28" s="257">
        <v>3.5910509428157003</v>
      </c>
      <c r="F28" s="818">
        <v>3</v>
      </c>
      <c r="G28" s="690" t="s">
        <v>1403</v>
      </c>
      <c r="H28" s="691">
        <v>2013</v>
      </c>
      <c r="I28" s="690">
        <v>3392.48702009</v>
      </c>
      <c r="J28" s="692">
        <v>15.416891706839357</v>
      </c>
      <c r="K28" s="161">
        <v>5</v>
      </c>
      <c r="L28" s="693">
        <f t="shared" ref="L28:L35" si="5">(I28-C28)/C28</f>
        <v>1.541066150553726E-2</v>
      </c>
    </row>
    <row r="29" spans="1:62">
      <c r="A29" s="162" t="s">
        <v>1404</v>
      </c>
      <c r="B29" s="162">
        <v>2011</v>
      </c>
      <c r="C29" s="162">
        <v>2507</v>
      </c>
      <c r="D29" s="162">
        <v>485</v>
      </c>
      <c r="E29" s="257">
        <v>2.1769379236051889</v>
      </c>
      <c r="F29" s="818">
        <v>8</v>
      </c>
      <c r="G29" s="690" t="s">
        <v>1404</v>
      </c>
      <c r="H29" s="691">
        <v>2013</v>
      </c>
      <c r="I29" s="690">
        <v>2527.11736462</v>
      </c>
      <c r="J29" s="692">
        <v>11.442686731356124</v>
      </c>
      <c r="K29" s="161">
        <v>7</v>
      </c>
      <c r="L29" s="693">
        <f t="shared" si="5"/>
        <v>8.0244773115277189E-3</v>
      </c>
    </row>
    <row r="30" spans="1:62">
      <c r="A30" s="162" t="s">
        <v>1405</v>
      </c>
      <c r="B30" s="162">
        <v>2011</v>
      </c>
      <c r="C30" s="162">
        <v>1262</v>
      </c>
      <c r="D30" s="162">
        <v>390</v>
      </c>
      <c r="E30" s="257">
        <v>2.9030817329164806</v>
      </c>
      <c r="F30" s="818">
        <v>9</v>
      </c>
      <c r="G30" s="690" t="s">
        <v>1405</v>
      </c>
      <c r="H30" s="691">
        <v>2013</v>
      </c>
      <c r="I30" s="690">
        <v>1147.6291216499999</v>
      </c>
      <c r="J30" s="692">
        <v>8.9101639879658379</v>
      </c>
      <c r="K30" s="161">
        <v>11</v>
      </c>
      <c r="L30" s="693">
        <f t="shared" si="5"/>
        <v>-9.0626686489698974E-2</v>
      </c>
    </row>
    <row r="31" spans="1:62" s="867" customFormat="1">
      <c r="A31" s="162" t="s">
        <v>508</v>
      </c>
      <c r="B31" s="162">
        <v>2011</v>
      </c>
      <c r="C31" s="162">
        <v>1833</v>
      </c>
      <c r="D31" s="162">
        <v>504</v>
      </c>
      <c r="E31" s="257">
        <v>3.8335741994371335</v>
      </c>
      <c r="F31" s="867">
        <v>7</v>
      </c>
      <c r="G31" s="690" t="s">
        <v>508</v>
      </c>
      <c r="H31" s="691">
        <v>2013</v>
      </c>
      <c r="I31" s="690">
        <v>2123.9715222</v>
      </c>
      <c r="J31" s="692">
        <v>14.068616163941973</v>
      </c>
      <c r="K31" s="161">
        <v>8</v>
      </c>
      <c r="L31" s="693">
        <v>0.15874060130932896</v>
      </c>
    </row>
    <row r="32" spans="1:62">
      <c r="A32" s="162" t="s">
        <v>1406</v>
      </c>
      <c r="B32" s="162">
        <v>2011</v>
      </c>
      <c r="C32" s="162">
        <v>3014</v>
      </c>
      <c r="D32" s="162">
        <v>514</v>
      </c>
      <c r="E32" s="257">
        <v>2.208567868345293</v>
      </c>
      <c r="F32" s="818">
        <v>6</v>
      </c>
      <c r="G32" s="690" t="s">
        <v>1406</v>
      </c>
      <c r="H32" s="691">
        <v>2013</v>
      </c>
      <c r="I32" s="690">
        <v>2934.6168691800003</v>
      </c>
      <c r="J32" s="692">
        <v>12.558808872255746</v>
      </c>
      <c r="K32" s="161">
        <v>6</v>
      </c>
      <c r="L32" s="693">
        <f t="shared" si="5"/>
        <v>-2.6338132322494916E-2</v>
      </c>
    </row>
    <row r="33" spans="1:12">
      <c r="A33" s="162" t="s">
        <v>1407</v>
      </c>
      <c r="B33" s="162">
        <v>2011</v>
      </c>
      <c r="C33" s="162">
        <v>5013</v>
      </c>
      <c r="D33" s="162">
        <v>685</v>
      </c>
      <c r="E33" s="257">
        <v>3.2177752724539648</v>
      </c>
      <c r="F33" s="818">
        <v>5</v>
      </c>
      <c r="G33" s="690" t="s">
        <v>1407</v>
      </c>
      <c r="H33" s="691">
        <v>2013</v>
      </c>
      <c r="I33" s="690">
        <v>5310.1198395000001</v>
      </c>
      <c r="J33" s="692">
        <v>24.407610955598457</v>
      </c>
      <c r="K33" s="161">
        <v>3</v>
      </c>
      <c r="L33" s="693">
        <f t="shared" si="5"/>
        <v>5.9269866247755862E-2</v>
      </c>
    </row>
    <row r="34" spans="1:12">
      <c r="A34" s="162" t="s">
        <v>510</v>
      </c>
      <c r="B34" s="162">
        <v>2011</v>
      </c>
      <c r="C34" s="162">
        <v>1863</v>
      </c>
      <c r="D34" s="162">
        <v>349</v>
      </c>
      <c r="E34" s="257">
        <v>2.3720519268673961</v>
      </c>
      <c r="F34" s="818">
        <v>11</v>
      </c>
      <c r="G34" s="690" t="s">
        <v>510</v>
      </c>
      <c r="H34" s="691">
        <v>2013</v>
      </c>
      <c r="I34" s="690">
        <v>1657.5869253000001</v>
      </c>
      <c r="J34" s="692">
        <v>12.707182320441991</v>
      </c>
      <c r="K34" s="161">
        <v>9</v>
      </c>
      <c r="L34" s="693">
        <f t="shared" si="5"/>
        <v>-0.11025929935587758</v>
      </c>
    </row>
    <row r="35" spans="1:12">
      <c r="A35" s="162" t="s">
        <v>290</v>
      </c>
      <c r="B35" s="162">
        <v>2011</v>
      </c>
      <c r="C35" s="162">
        <v>3863</v>
      </c>
      <c r="D35" s="162">
        <v>719</v>
      </c>
      <c r="E35" s="257">
        <v>3.7335133451033338</v>
      </c>
      <c r="F35" s="818">
        <v>4</v>
      </c>
      <c r="G35" s="690" t="s">
        <v>290</v>
      </c>
      <c r="H35" s="691">
        <v>2013</v>
      </c>
      <c r="I35" s="690">
        <v>3988.2497248999998</v>
      </c>
      <c r="J35" s="692">
        <v>19.767679869000101</v>
      </c>
      <c r="K35" s="161">
        <v>4</v>
      </c>
      <c r="L35" s="693">
        <f t="shared" si="5"/>
        <v>3.2422916101475491E-2</v>
      </c>
    </row>
    <row r="36" spans="1:12">
      <c r="A36" s="162" t="s">
        <v>1141</v>
      </c>
      <c r="C36">
        <v>47444</v>
      </c>
      <c r="D36">
        <v>11046</v>
      </c>
      <c r="E36">
        <v>4.28</v>
      </c>
      <c r="F36" t="s">
        <v>916</v>
      </c>
      <c r="G36" s="690" t="s">
        <v>1141</v>
      </c>
      <c r="H36" s="161"/>
      <c r="I36" s="161">
        <v>51555.260657609062</v>
      </c>
      <c r="J36" s="694">
        <v>18.41</v>
      </c>
      <c r="K36" s="695" t="s">
        <v>916</v>
      </c>
      <c r="L36" s="693">
        <f>(I36-C36)/C36</f>
        <v>8.6655017654688943E-2</v>
      </c>
    </row>
    <row r="37" spans="1:12">
      <c r="G37" s="162" t="s">
        <v>1136</v>
      </c>
      <c r="J37">
        <v>25770411.443233896</v>
      </c>
    </row>
    <row r="38" spans="1:12">
      <c r="A38" s="696" t="s">
        <v>1666</v>
      </c>
    </row>
    <row r="39" spans="1:12">
      <c r="A39" t="s">
        <v>1417</v>
      </c>
      <c r="B39" t="s">
        <v>104</v>
      </c>
      <c r="C39" t="s">
        <v>105</v>
      </c>
      <c r="D39" t="s">
        <v>106</v>
      </c>
      <c r="E39" t="s">
        <v>107</v>
      </c>
      <c r="F39" s="56" t="s">
        <v>108</v>
      </c>
      <c r="G39" t="s">
        <v>331</v>
      </c>
      <c r="I39" t="s">
        <v>1418</v>
      </c>
    </row>
    <row r="41" spans="1:12">
      <c r="A41" t="s">
        <v>506</v>
      </c>
      <c r="B41">
        <v>5677</v>
      </c>
      <c r="C41">
        <v>5918</v>
      </c>
      <c r="D41">
        <v>6018</v>
      </c>
      <c r="E41">
        <v>5810</v>
      </c>
      <c r="G41">
        <v>10</v>
      </c>
      <c r="I41" t="s">
        <v>506</v>
      </c>
      <c r="J41" s="148">
        <v>0.5010678328078918</v>
      </c>
    </row>
    <row r="42" spans="1:12">
      <c r="A42" t="s">
        <v>74</v>
      </c>
      <c r="B42">
        <v>7813</v>
      </c>
      <c r="C42">
        <v>8167</v>
      </c>
      <c r="D42">
        <v>8259</v>
      </c>
      <c r="E42">
        <v>8512</v>
      </c>
      <c r="G42">
        <v>7</v>
      </c>
      <c r="I42" t="s">
        <v>74</v>
      </c>
      <c r="J42" s="158">
        <v>0.56551822526571083</v>
      </c>
    </row>
    <row r="43" spans="1:12">
      <c r="A43" t="s">
        <v>508</v>
      </c>
      <c r="B43">
        <v>9868</v>
      </c>
      <c r="C43">
        <v>10156</v>
      </c>
      <c r="D43">
        <v>10791</v>
      </c>
      <c r="E43">
        <v>10668</v>
      </c>
      <c r="G43">
        <v>5</v>
      </c>
      <c r="I43" t="s">
        <v>508</v>
      </c>
      <c r="J43" s="158">
        <v>0.57858672376873665</v>
      </c>
    </row>
    <row r="44" spans="1:12">
      <c r="A44" t="s">
        <v>763</v>
      </c>
      <c r="B44">
        <v>2997</v>
      </c>
      <c r="C44">
        <v>3259</v>
      </c>
      <c r="D44">
        <v>3631</v>
      </c>
      <c r="E44">
        <v>3721</v>
      </c>
      <c r="G44">
        <v>12</v>
      </c>
      <c r="I44" t="s">
        <v>763</v>
      </c>
      <c r="J44" s="158">
        <v>0.7439393939393939</v>
      </c>
    </row>
    <row r="45" spans="1:12">
      <c r="A45" t="s">
        <v>287</v>
      </c>
      <c r="B45">
        <v>7734</v>
      </c>
      <c r="C45">
        <v>7776</v>
      </c>
      <c r="D45">
        <v>8440</v>
      </c>
      <c r="E45">
        <v>8679</v>
      </c>
      <c r="G45">
        <v>6</v>
      </c>
      <c r="I45" t="s">
        <v>287</v>
      </c>
      <c r="J45" s="158">
        <v>0.33570075757575757</v>
      </c>
    </row>
    <row r="46" spans="1:12">
      <c r="A46" t="s">
        <v>509</v>
      </c>
      <c r="B46">
        <v>18792</v>
      </c>
      <c r="C46">
        <v>19264</v>
      </c>
      <c r="D46">
        <v>20863</v>
      </c>
      <c r="E46">
        <v>21881</v>
      </c>
      <c r="G46">
        <v>3</v>
      </c>
      <c r="I46" t="s">
        <v>509</v>
      </c>
      <c r="J46" s="158">
        <v>0.65867973814053982</v>
      </c>
    </row>
    <row r="47" spans="1:12">
      <c r="A47" t="s">
        <v>547</v>
      </c>
      <c r="B47">
        <v>5919</v>
      </c>
      <c r="C47">
        <v>5978</v>
      </c>
      <c r="D47">
        <v>5940</v>
      </c>
      <c r="E47">
        <v>6279</v>
      </c>
      <c r="G47">
        <v>9</v>
      </c>
      <c r="I47" t="s">
        <v>547</v>
      </c>
      <c r="J47" s="158">
        <v>0.46999031945788966</v>
      </c>
    </row>
    <row r="48" spans="1:12">
      <c r="A48" t="s">
        <v>510</v>
      </c>
      <c r="B48">
        <v>7209</v>
      </c>
      <c r="C48">
        <v>7637</v>
      </c>
      <c r="D48">
        <v>8021</v>
      </c>
      <c r="E48">
        <v>8085</v>
      </c>
      <c r="G48">
        <v>8</v>
      </c>
      <c r="I48" t="s">
        <v>510</v>
      </c>
      <c r="J48" s="158">
        <v>0.62660325695345154</v>
      </c>
    </row>
    <row r="49" spans="1:10">
      <c r="A49" t="s">
        <v>290</v>
      </c>
      <c r="B49">
        <v>17869</v>
      </c>
      <c r="C49">
        <v>17461</v>
      </c>
      <c r="D49">
        <v>18230</v>
      </c>
      <c r="E49">
        <v>20338</v>
      </c>
      <c r="G49">
        <v>4</v>
      </c>
      <c r="I49" t="s">
        <v>290</v>
      </c>
      <c r="J49" s="158">
        <v>0.57369432874078818</v>
      </c>
    </row>
    <row r="50" spans="1:10">
      <c r="A50" t="s">
        <v>291</v>
      </c>
      <c r="B50">
        <v>29597</v>
      </c>
      <c r="C50">
        <v>31145</v>
      </c>
      <c r="D50">
        <v>31984</v>
      </c>
      <c r="E50">
        <v>32519</v>
      </c>
      <c r="G50">
        <v>2</v>
      </c>
      <c r="I50" t="s">
        <v>291</v>
      </c>
      <c r="J50" s="158">
        <v>0.62842611466228648</v>
      </c>
    </row>
    <row r="51" spans="1:10">
      <c r="J51" s="158"/>
    </row>
    <row r="52" spans="1:10">
      <c r="A52" t="s">
        <v>271</v>
      </c>
      <c r="B52">
        <v>243533</v>
      </c>
      <c r="C52">
        <v>249247</v>
      </c>
      <c r="D52">
        <v>258913</v>
      </c>
      <c r="E52">
        <v>266222</v>
      </c>
      <c r="F52">
        <v>268422</v>
      </c>
      <c r="G52">
        <v>0</v>
      </c>
      <c r="I52" t="s">
        <v>271</v>
      </c>
      <c r="J52" s="158">
        <v>0.61133114033488201</v>
      </c>
    </row>
  </sheetData>
  <sortState ref="I41:J50">
    <sortCondition ref="I41:I50"/>
  </sortState>
  <mergeCells count="4">
    <mergeCell ref="Y8:Z8"/>
    <mergeCell ref="AB8:AC8"/>
    <mergeCell ref="AE8:AH8"/>
    <mergeCell ref="AJ8:AM8"/>
  </mergeCells>
  <hyperlinks>
    <hyperlink ref="A3" r:id="rId1" xr:uid="{00000000-0004-0000-0F00-000000000000}"/>
    <hyperlink ref="A4" r:id="rId2" xr:uid="{00000000-0004-0000-0F00-000001000000}"/>
    <hyperlink ref="B7" r:id="rId3" location="Donn%C3%A9es_publiques" xr:uid="{00000000-0004-0000-0F00-000002000000}"/>
  </hyperlinks>
  <pageMargins left="0.7" right="0.7" top="0.75" bottom="0.75" header="0.3" footer="0.3"/>
  <pageSetup paperSize="9" orientation="portrait" horizontalDpi="1200" verticalDpi="1200"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W92"/>
  <sheetViews>
    <sheetView topLeftCell="A11" zoomScaleNormal="100" workbookViewId="0">
      <selection activeCell="C8" sqref="C8"/>
    </sheetView>
  </sheetViews>
  <sheetFormatPr baseColWidth="10" defaultRowHeight="15"/>
  <cols>
    <col min="1" max="1" width="21" style="16" customWidth="1"/>
    <col min="2" max="2" width="27.5703125" style="16" bestFit="1" customWidth="1"/>
    <col min="3" max="10" width="11.42578125" style="16"/>
    <col min="11" max="11" width="11.42578125" style="264"/>
    <col min="12" max="14" width="11.42578125" style="16"/>
    <col min="15" max="15" width="11.42578125" style="264"/>
    <col min="16" max="16384" width="11.42578125" style="16"/>
  </cols>
  <sheetData>
    <row r="3" spans="1:23">
      <c r="O3" s="264" t="s">
        <v>1320</v>
      </c>
    </row>
    <row r="4" spans="1:23">
      <c r="C4" s="808" t="s">
        <v>1660</v>
      </c>
      <c r="D4" s="808" t="s">
        <v>1660</v>
      </c>
      <c r="E4" s="808" t="s">
        <v>1660</v>
      </c>
      <c r="F4" s="808" t="s">
        <v>1660</v>
      </c>
      <c r="G4" s="808" t="s">
        <v>1660</v>
      </c>
      <c r="H4" s="625">
        <v>2016</v>
      </c>
      <c r="K4" s="626">
        <v>2016</v>
      </c>
      <c r="L4" s="627">
        <v>2016</v>
      </c>
      <c r="O4" s="815">
        <v>2014</v>
      </c>
      <c r="P4" s="808">
        <v>1999</v>
      </c>
      <c r="Q4" s="808">
        <v>2009</v>
      </c>
      <c r="R4" s="808">
        <v>2014</v>
      </c>
      <c r="S4" s="808"/>
      <c r="T4" s="808"/>
      <c r="U4" s="808">
        <v>1999</v>
      </c>
      <c r="V4" s="808">
        <v>2009</v>
      </c>
      <c r="W4" s="808">
        <v>2014</v>
      </c>
    </row>
    <row r="5" spans="1:23" ht="45">
      <c r="A5" s="16" t="s">
        <v>251</v>
      </c>
      <c r="B5" s="16" t="s">
        <v>252</v>
      </c>
      <c r="C5" s="14" t="s">
        <v>521</v>
      </c>
      <c r="D5" s="14" t="s">
        <v>522</v>
      </c>
      <c r="E5" s="14" t="s">
        <v>523</v>
      </c>
      <c r="F5" s="14" t="s">
        <v>524</v>
      </c>
      <c r="G5" s="14" t="s">
        <v>525</v>
      </c>
      <c r="H5" s="259" t="s">
        <v>903</v>
      </c>
      <c r="I5" s="259" t="s">
        <v>526</v>
      </c>
      <c r="J5" s="259" t="s">
        <v>901</v>
      </c>
      <c r="K5" s="267" t="s">
        <v>90</v>
      </c>
      <c r="L5" s="260" t="s">
        <v>904</v>
      </c>
      <c r="M5" s="260" t="s">
        <v>527</v>
      </c>
      <c r="N5" s="260" t="s">
        <v>905</v>
      </c>
      <c r="O5" s="265" t="s">
        <v>1661</v>
      </c>
      <c r="P5" s="14" t="s">
        <v>529</v>
      </c>
      <c r="Q5" s="14" t="s">
        <v>530</v>
      </c>
      <c r="R5" s="262" t="s">
        <v>531</v>
      </c>
      <c r="S5" s="262" t="s">
        <v>528</v>
      </c>
      <c r="T5" s="262" t="s">
        <v>906</v>
      </c>
      <c r="U5" s="14" t="s">
        <v>909</v>
      </c>
      <c r="V5" s="14" t="s">
        <v>907</v>
      </c>
      <c r="W5" s="14" t="s">
        <v>908</v>
      </c>
    </row>
    <row r="6" spans="1:23">
      <c r="A6" s="10" t="s">
        <v>88</v>
      </c>
      <c r="B6" s="16" t="s">
        <v>89</v>
      </c>
      <c r="C6" s="623">
        <v>1609.9686566582639</v>
      </c>
      <c r="D6" s="623">
        <v>1317.696096110315</v>
      </c>
      <c r="E6" s="623">
        <v>2002.2372172953849</v>
      </c>
      <c r="F6" s="623">
        <v>5661.0083161723251</v>
      </c>
      <c r="G6" s="623">
        <v>2664.6420135745075</v>
      </c>
      <c r="H6" s="628">
        <v>4554</v>
      </c>
      <c r="I6" s="242">
        <f>RANK($J6,$J$6:$J$20,0)</f>
        <v>14</v>
      </c>
      <c r="J6" s="268">
        <f>H6/K6</f>
        <v>3.9375389084872377E-2</v>
      </c>
      <c r="K6" s="629">
        <v>115656</v>
      </c>
      <c r="L6" s="630">
        <v>1020</v>
      </c>
      <c r="M6" s="261">
        <f>RANK($N6,$N$6:$N$20,0)</f>
        <v>11</v>
      </c>
      <c r="N6" s="269">
        <f>L6/K6</f>
        <v>8.8192571072836685E-3</v>
      </c>
      <c r="O6" s="264">
        <v>187518.59025719896</v>
      </c>
      <c r="P6" s="16">
        <v>8738</v>
      </c>
      <c r="Q6" s="16">
        <v>12464.210751189878</v>
      </c>
      <c r="R6" s="632">
        <f>C6+D6+E6+F6+G6</f>
        <v>13255.552299810795</v>
      </c>
      <c r="S6" s="263">
        <f>RANK($T6,$T$6:$T$20,0)</f>
        <v>13</v>
      </c>
      <c r="T6" s="270">
        <f>R6/O6</f>
        <v>7.0689270229845419E-2</v>
      </c>
      <c r="U6" s="16">
        <v>100</v>
      </c>
      <c r="V6" s="16">
        <f>(Q6/P6)*100</f>
        <v>142.64374858308398</v>
      </c>
      <c r="W6" s="16">
        <f>(R6/P6)*100</f>
        <v>151.70007209671314</v>
      </c>
    </row>
    <row r="7" spans="1:23">
      <c r="A7" s="10" t="s">
        <v>5</v>
      </c>
      <c r="B7" s="16" t="s">
        <v>6</v>
      </c>
      <c r="C7" s="623">
        <v>6810.6193187924127</v>
      </c>
      <c r="D7" s="623">
        <v>13045.538445705464</v>
      </c>
      <c r="E7" s="623">
        <v>5622.5200035425951</v>
      </c>
      <c r="F7" s="623">
        <v>21180.149065126741</v>
      </c>
      <c r="G7" s="623">
        <v>11897.992845915922</v>
      </c>
      <c r="H7" s="628">
        <v>29942</v>
      </c>
      <c r="I7" s="242">
        <f t="shared" ref="I7:I20" si="0">RANK($J7,$J$6:$J$20,0)</f>
        <v>8</v>
      </c>
      <c r="J7" s="268">
        <f t="shared" ref="J7:J40" si="1">H7/K7</f>
        <v>8.0156554515666154E-2</v>
      </c>
      <c r="K7" s="629">
        <v>373544</v>
      </c>
      <c r="L7" s="630">
        <v>10372</v>
      </c>
      <c r="M7" s="261">
        <f t="shared" ref="M7:M19" si="2">RANK($N7,$N$6:$N$20,0)</f>
        <v>5</v>
      </c>
      <c r="N7" s="269">
        <f t="shared" ref="N7:N40" si="3">L7/K7</f>
        <v>2.7766474632171845E-2</v>
      </c>
      <c r="O7" s="264">
        <v>548083.92018204054</v>
      </c>
      <c r="P7" s="16">
        <v>30436</v>
      </c>
      <c r="Q7" s="16">
        <v>50536.31102154671</v>
      </c>
      <c r="R7" s="632">
        <f t="shared" ref="R7:R40" si="4">C7+D7+E7+F7+G7</f>
        <v>58556.819679083135</v>
      </c>
      <c r="S7" s="263">
        <f t="shared" ref="S7:S20" si="5">RANK($T7,$T$6:$T$20,0)</f>
        <v>10</v>
      </c>
      <c r="T7" s="270">
        <f t="shared" ref="T7:T40" si="6">R7/O7</f>
        <v>0.10683914912087565</v>
      </c>
      <c r="U7" s="16">
        <v>100</v>
      </c>
      <c r="V7" s="16">
        <f t="shared" ref="V7:V40" si="7">(Q7/P7)*100</f>
        <v>166.04123742129948</v>
      </c>
      <c r="W7" s="16">
        <f t="shared" ref="W7:W40" si="8">(R7/P7)*100</f>
        <v>192.39328321423031</v>
      </c>
    </row>
    <row r="8" spans="1:23">
      <c r="A8" s="12" t="s">
        <v>87</v>
      </c>
      <c r="B8" s="16" t="s">
        <v>1076</v>
      </c>
      <c r="C8" s="623">
        <v>749.6387449358283</v>
      </c>
      <c r="D8" s="623">
        <v>573.97542856425378</v>
      </c>
      <c r="E8" s="623">
        <v>432.94549196126803</v>
      </c>
      <c r="F8" s="623">
        <v>2568.0465178172772</v>
      </c>
      <c r="G8" s="623">
        <v>629.1244605011791</v>
      </c>
      <c r="H8" s="628">
        <v>2352</v>
      </c>
      <c r="I8" s="242">
        <f t="shared" si="0"/>
        <v>15</v>
      </c>
      <c r="J8" s="268">
        <f t="shared" si="1"/>
        <v>2.9176435562502327E-2</v>
      </c>
      <c r="K8" s="629">
        <v>80613</v>
      </c>
      <c r="L8" s="630">
        <v>92</v>
      </c>
      <c r="M8" s="261">
        <f t="shared" si="2"/>
        <v>15</v>
      </c>
      <c r="N8" s="269">
        <f t="shared" si="3"/>
        <v>1.1412551325468596E-3</v>
      </c>
      <c r="O8" s="264">
        <v>110398.14022458227</v>
      </c>
      <c r="P8" s="16">
        <v>3126</v>
      </c>
      <c r="Q8" s="16">
        <v>4767.9838750297895</v>
      </c>
      <c r="R8" s="632">
        <f t="shared" si="4"/>
        <v>4953.7306437798061</v>
      </c>
      <c r="S8" s="263">
        <f t="shared" si="5"/>
        <v>15</v>
      </c>
      <c r="T8" s="270">
        <f t="shared" si="6"/>
        <v>4.4871504480985473E-2</v>
      </c>
      <c r="U8" s="16">
        <v>100</v>
      </c>
      <c r="V8" s="16">
        <f t="shared" si="7"/>
        <v>152.52667546480453</v>
      </c>
      <c r="W8" s="16">
        <f t="shared" si="8"/>
        <v>158.46867062635337</v>
      </c>
    </row>
    <row r="9" spans="1:23">
      <c r="A9" s="10" t="s">
        <v>7</v>
      </c>
      <c r="B9" s="16" t="s">
        <v>8</v>
      </c>
      <c r="C9" s="623">
        <v>4981.5149370830122</v>
      </c>
      <c r="D9" s="623">
        <v>18457.907419992418</v>
      </c>
      <c r="E9" s="623">
        <v>3236.5442696065916</v>
      </c>
      <c r="F9" s="623">
        <v>12991.262476805196</v>
      </c>
      <c r="G9" s="623">
        <v>8229.615764221151</v>
      </c>
      <c r="H9" s="628">
        <v>21386</v>
      </c>
      <c r="I9" s="242">
        <f t="shared" si="0"/>
        <v>6</v>
      </c>
      <c r="J9" s="268">
        <f t="shared" si="1"/>
        <v>9.0689735597820328E-2</v>
      </c>
      <c r="K9" s="629">
        <v>235815</v>
      </c>
      <c r="L9" s="630">
        <v>12889</v>
      </c>
      <c r="M9" s="261">
        <f t="shared" si="2"/>
        <v>2</v>
      </c>
      <c r="N9" s="269">
        <f t="shared" si="3"/>
        <v>5.4657252507262048E-2</v>
      </c>
      <c r="O9" s="264">
        <v>344766.43405980978</v>
      </c>
      <c r="P9" s="16">
        <v>29212</v>
      </c>
      <c r="Q9" s="16">
        <v>43548.195920483697</v>
      </c>
      <c r="R9" s="632">
        <f t="shared" si="4"/>
        <v>47896.844867708365</v>
      </c>
      <c r="S9" s="263">
        <f t="shared" si="5"/>
        <v>3</v>
      </c>
      <c r="T9" s="270">
        <f t="shared" si="6"/>
        <v>0.13892548733267712</v>
      </c>
      <c r="U9" s="16">
        <v>100</v>
      </c>
      <c r="V9" s="16">
        <f t="shared" si="7"/>
        <v>149.07639299083834</v>
      </c>
      <c r="W9" s="16">
        <f t="shared" si="8"/>
        <v>163.96290862559346</v>
      </c>
    </row>
    <row r="10" spans="1:23">
      <c r="A10" s="10" t="s">
        <v>9</v>
      </c>
      <c r="B10" s="16" t="s">
        <v>10</v>
      </c>
      <c r="C10" s="623">
        <v>6387.3545465615507</v>
      </c>
      <c r="D10" s="623">
        <v>10818.571457634263</v>
      </c>
      <c r="E10" s="623">
        <v>3904.058664188753</v>
      </c>
      <c r="F10" s="623">
        <v>19933.577000746525</v>
      </c>
      <c r="G10" s="623">
        <v>8670.6253229835183</v>
      </c>
      <c r="H10" s="628">
        <v>29873</v>
      </c>
      <c r="I10" s="242">
        <f t="shared" si="0"/>
        <v>4</v>
      </c>
      <c r="J10" s="268">
        <f t="shared" si="1"/>
        <v>0.10180136584833903</v>
      </c>
      <c r="K10" s="629">
        <v>293444</v>
      </c>
      <c r="L10" s="630">
        <v>1808</v>
      </c>
      <c r="M10" s="261">
        <f t="shared" si="2"/>
        <v>13</v>
      </c>
      <c r="N10" s="269">
        <f t="shared" si="3"/>
        <v>6.1613118687040801E-3</v>
      </c>
      <c r="O10" s="264">
        <v>390344.31067546882</v>
      </c>
      <c r="P10" s="16">
        <v>26856</v>
      </c>
      <c r="Q10" s="16">
        <v>42963.588533305265</v>
      </c>
      <c r="R10" s="632">
        <f t="shared" si="4"/>
        <v>49714.186992114614</v>
      </c>
      <c r="S10" s="263">
        <f t="shared" si="5"/>
        <v>4</v>
      </c>
      <c r="T10" s="270">
        <f t="shared" si="6"/>
        <v>0.12735983497770728</v>
      </c>
      <c r="U10" s="16">
        <v>100</v>
      </c>
      <c r="V10" s="16">
        <f t="shared" si="7"/>
        <v>159.97761592681437</v>
      </c>
      <c r="W10" s="16">
        <f t="shared" si="8"/>
        <v>185.11389258308986</v>
      </c>
    </row>
    <row r="11" spans="1:23">
      <c r="A11" s="10" t="s">
        <v>11</v>
      </c>
      <c r="B11" s="16" t="s">
        <v>12</v>
      </c>
      <c r="C11" s="623">
        <v>17213.153448412399</v>
      </c>
      <c r="D11" s="623">
        <v>29669.446114272967</v>
      </c>
      <c r="E11" s="623">
        <v>9732.2282718360129</v>
      </c>
      <c r="F11" s="623">
        <v>45080.087949536297</v>
      </c>
      <c r="G11" s="623">
        <v>25219.447252833314</v>
      </c>
      <c r="H11" s="628">
        <v>70763</v>
      </c>
      <c r="I11" s="242">
        <f t="shared" si="0"/>
        <v>3</v>
      </c>
      <c r="J11" s="268">
        <f t="shared" si="1"/>
        <v>0.10530882184425491</v>
      </c>
      <c r="K11" s="629">
        <v>671957</v>
      </c>
      <c r="L11" s="630">
        <v>12638</v>
      </c>
      <c r="M11" s="261">
        <f t="shared" si="2"/>
        <v>6</v>
      </c>
      <c r="N11" s="269">
        <f t="shared" si="3"/>
        <v>1.8807751091215658E-2</v>
      </c>
      <c r="O11" s="264">
        <v>845421.54110058921</v>
      </c>
      <c r="P11" s="16">
        <v>68071</v>
      </c>
      <c r="Q11" s="16">
        <v>107358.69694639741</v>
      </c>
      <c r="R11" s="632">
        <f t="shared" si="4"/>
        <v>126914.36303689099</v>
      </c>
      <c r="S11" s="263">
        <f t="shared" si="5"/>
        <v>2</v>
      </c>
      <c r="T11" s="270">
        <f t="shared" si="6"/>
        <v>0.15011962301276469</v>
      </c>
      <c r="U11" s="16">
        <v>100</v>
      </c>
      <c r="V11" s="16">
        <f t="shared" si="7"/>
        <v>157.71576287464177</v>
      </c>
      <c r="W11" s="16">
        <f t="shared" si="8"/>
        <v>186.44409959731897</v>
      </c>
    </row>
    <row r="12" spans="1:23">
      <c r="A12" s="10" t="s">
        <v>13</v>
      </c>
      <c r="B12" s="16" t="s">
        <v>54</v>
      </c>
      <c r="C12" s="623">
        <v>5499.1691909365909</v>
      </c>
      <c r="D12" s="623">
        <v>10564.363851164024</v>
      </c>
      <c r="E12" s="623">
        <v>6212.9733152336948</v>
      </c>
      <c r="F12" s="623">
        <v>21505.513355267201</v>
      </c>
      <c r="G12" s="623">
        <v>11382.000228326628</v>
      </c>
      <c r="H12" s="628">
        <v>26656</v>
      </c>
      <c r="I12" s="242">
        <f t="shared" si="0"/>
        <v>10</v>
      </c>
      <c r="J12" s="268">
        <f t="shared" si="1"/>
        <v>6.9591915056927203E-2</v>
      </c>
      <c r="K12" s="629">
        <v>383033</v>
      </c>
      <c r="L12" s="630">
        <v>11516</v>
      </c>
      <c r="M12" s="261">
        <f t="shared" si="2"/>
        <v>4</v>
      </c>
      <c r="N12" s="269">
        <f t="shared" si="3"/>
        <v>3.0065294635188092E-2</v>
      </c>
      <c r="O12" s="264">
        <v>504891.08815915108</v>
      </c>
      <c r="P12" s="16">
        <v>32341</v>
      </c>
      <c r="Q12" s="16">
        <v>48562.967059701019</v>
      </c>
      <c r="R12" s="632">
        <f t="shared" si="4"/>
        <v>55164.019940928141</v>
      </c>
      <c r="S12" s="263">
        <f t="shared" si="5"/>
        <v>9</v>
      </c>
      <c r="T12" s="270">
        <f t="shared" si="6"/>
        <v>0.10925924666655913</v>
      </c>
      <c r="U12" s="16">
        <v>100</v>
      </c>
      <c r="V12" s="16">
        <f t="shared" si="7"/>
        <v>150.15913873937424</v>
      </c>
      <c r="W12" s="16">
        <f t="shared" si="8"/>
        <v>170.56992653575384</v>
      </c>
    </row>
    <row r="13" spans="1:23">
      <c r="A13" s="10" t="s">
        <v>14</v>
      </c>
      <c r="B13" s="16" t="s">
        <v>15</v>
      </c>
      <c r="C13" s="623">
        <v>2882.197317166027</v>
      </c>
      <c r="D13" s="623">
        <v>9137.2370076899351</v>
      </c>
      <c r="E13" s="623">
        <v>4115.7230694494556</v>
      </c>
      <c r="F13" s="623">
        <v>10558.238790096826</v>
      </c>
      <c r="G13" s="623">
        <v>7177.5318768290435</v>
      </c>
      <c r="H13" s="628">
        <v>15908</v>
      </c>
      <c r="I13" s="242">
        <f t="shared" si="0"/>
        <v>7</v>
      </c>
      <c r="J13" s="268">
        <f t="shared" si="1"/>
        <v>8.6732273805304905E-2</v>
      </c>
      <c r="K13" s="629">
        <v>183415</v>
      </c>
      <c r="L13" s="630">
        <v>2442</v>
      </c>
      <c r="M13" s="261">
        <f t="shared" si="2"/>
        <v>9</v>
      </c>
      <c r="N13" s="269">
        <f t="shared" si="3"/>
        <v>1.3314069187361994E-2</v>
      </c>
      <c r="O13" s="264">
        <v>271093.99445750413</v>
      </c>
      <c r="P13" s="16">
        <v>17283</v>
      </c>
      <c r="Q13" s="16">
        <v>27909.310235008463</v>
      </c>
      <c r="R13" s="632">
        <f t="shared" si="4"/>
        <v>33870.928061231287</v>
      </c>
      <c r="S13" s="263">
        <f t="shared" si="5"/>
        <v>5</v>
      </c>
      <c r="T13" s="270">
        <f t="shared" si="6"/>
        <v>0.12494163926062475</v>
      </c>
      <c r="U13" s="16">
        <v>100</v>
      </c>
      <c r="V13" s="16">
        <f t="shared" si="7"/>
        <v>161.48417656083123</v>
      </c>
      <c r="W13" s="16">
        <f t="shared" si="8"/>
        <v>195.97829116028055</v>
      </c>
    </row>
    <row r="14" spans="1:23">
      <c r="A14" s="10" t="s">
        <v>16</v>
      </c>
      <c r="B14" s="16" t="s">
        <v>17</v>
      </c>
      <c r="C14" s="623">
        <v>6924.357700789089</v>
      </c>
      <c r="D14" s="623">
        <v>13000.106806049571</v>
      </c>
      <c r="E14" s="623">
        <v>4626.9360565361139</v>
      </c>
      <c r="F14" s="623">
        <v>19895.389562104785</v>
      </c>
      <c r="G14" s="623">
        <v>10132.616571830955</v>
      </c>
      <c r="H14" s="628">
        <v>38346</v>
      </c>
      <c r="I14" s="242">
        <f t="shared" si="0"/>
        <v>2</v>
      </c>
      <c r="J14" s="268">
        <f t="shared" si="1"/>
        <v>0.11256979468180671</v>
      </c>
      <c r="K14" s="629">
        <v>340642</v>
      </c>
      <c r="L14" s="630">
        <v>4519</v>
      </c>
      <c r="M14" s="261">
        <f t="shared" si="2"/>
        <v>10</v>
      </c>
      <c r="N14" s="269">
        <f t="shared" si="3"/>
        <v>1.3266126901556473E-2</v>
      </c>
      <c r="O14" s="264">
        <v>467845.70052518125</v>
      </c>
      <c r="P14" s="16">
        <v>24677</v>
      </c>
      <c r="Q14" s="16">
        <v>45307.280112326596</v>
      </c>
      <c r="R14" s="632">
        <f t="shared" si="4"/>
        <v>54579.406697310515</v>
      </c>
      <c r="S14" s="263">
        <f t="shared" si="5"/>
        <v>7</v>
      </c>
      <c r="T14" s="270">
        <f t="shared" si="6"/>
        <v>0.11666112702551777</v>
      </c>
      <c r="U14" s="16">
        <v>100</v>
      </c>
      <c r="V14" s="16">
        <f t="shared" si="7"/>
        <v>183.60124858097257</v>
      </c>
      <c r="W14" s="16">
        <f t="shared" si="8"/>
        <v>221.17521050901857</v>
      </c>
    </row>
    <row r="15" spans="1:23">
      <c r="A15" s="10" t="s">
        <v>18</v>
      </c>
      <c r="B15" s="16" t="s">
        <v>19</v>
      </c>
      <c r="C15" s="623">
        <v>1662.5260369833293</v>
      </c>
      <c r="D15" s="623">
        <v>3394.886355453018</v>
      </c>
      <c r="E15" s="623">
        <v>2830.3827832094644</v>
      </c>
      <c r="F15" s="623">
        <v>8006.1100074017113</v>
      </c>
      <c r="G15" s="623">
        <v>4608.044416814736</v>
      </c>
      <c r="H15" s="628">
        <v>7844</v>
      </c>
      <c r="I15" s="242">
        <f t="shared" si="0"/>
        <v>11</v>
      </c>
      <c r="J15" s="268">
        <f t="shared" si="1"/>
        <v>4.7578321657113398E-2</v>
      </c>
      <c r="K15" s="629">
        <v>164865</v>
      </c>
      <c r="L15" s="630">
        <v>2270</v>
      </c>
      <c r="M15" s="261">
        <f t="shared" si="2"/>
        <v>8</v>
      </c>
      <c r="N15" s="269">
        <f t="shared" si="3"/>
        <v>1.3768841173081007E-2</v>
      </c>
      <c r="O15" s="264">
        <v>232144.57454438304</v>
      </c>
      <c r="P15" s="16">
        <v>14362</v>
      </c>
      <c r="Q15" s="16">
        <v>19960.296912684233</v>
      </c>
      <c r="R15" s="632">
        <f t="shared" si="4"/>
        <v>20501.949599862259</v>
      </c>
      <c r="S15" s="263">
        <f t="shared" si="5"/>
        <v>11</v>
      </c>
      <c r="T15" s="270">
        <f t="shared" si="6"/>
        <v>8.8315437223119561E-2</v>
      </c>
      <c r="U15" s="16">
        <v>100</v>
      </c>
      <c r="V15" s="16">
        <f t="shared" si="7"/>
        <v>138.97992558615954</v>
      </c>
      <c r="W15" s="16">
        <f t="shared" si="8"/>
        <v>142.75135496353056</v>
      </c>
    </row>
    <row r="16" spans="1:23">
      <c r="A16" s="10" t="s">
        <v>20</v>
      </c>
      <c r="B16" s="16" t="s">
        <v>21</v>
      </c>
      <c r="C16" s="623">
        <v>4313.0016173958638</v>
      </c>
      <c r="D16" s="623">
        <v>9350.0965794957501</v>
      </c>
      <c r="E16" s="623">
        <v>3642.7875083662047</v>
      </c>
      <c r="F16" s="623">
        <v>13090.065860675903</v>
      </c>
      <c r="G16" s="623">
        <v>8098.4857646813762</v>
      </c>
      <c r="H16" s="628">
        <v>23477</v>
      </c>
      <c r="I16" s="242">
        <f t="shared" si="0"/>
        <v>5</v>
      </c>
      <c r="J16" s="268">
        <f t="shared" si="1"/>
        <v>0.10058826805828695</v>
      </c>
      <c r="K16" s="629">
        <v>233397</v>
      </c>
      <c r="L16" s="630">
        <v>2046</v>
      </c>
      <c r="M16" s="261">
        <f t="shared" si="2"/>
        <v>12</v>
      </c>
      <c r="N16" s="269">
        <f t="shared" si="3"/>
        <v>8.7661795138755001E-3</v>
      </c>
      <c r="O16" s="264">
        <v>349311.79506275355</v>
      </c>
      <c r="P16" s="16">
        <v>18351</v>
      </c>
      <c r="Q16" s="16">
        <v>33953.942342408838</v>
      </c>
      <c r="R16" s="632">
        <f t="shared" si="4"/>
        <v>38494.437330615096</v>
      </c>
      <c r="S16" s="263">
        <f t="shared" si="5"/>
        <v>8</v>
      </c>
      <c r="T16" s="270">
        <f t="shared" si="6"/>
        <v>0.11020079446129097</v>
      </c>
      <c r="U16" s="16">
        <v>100</v>
      </c>
      <c r="V16" s="16">
        <f t="shared" si="7"/>
        <v>185.02502502538738</v>
      </c>
      <c r="W16" s="16">
        <f t="shared" si="8"/>
        <v>209.76751855819899</v>
      </c>
    </row>
    <row r="17" spans="1:23">
      <c r="A17" s="10" t="s">
        <v>22</v>
      </c>
      <c r="B17" s="16" t="s">
        <v>23</v>
      </c>
      <c r="C17" s="623">
        <v>2657.4439749187582</v>
      </c>
      <c r="D17" s="623">
        <v>3785.8160367091477</v>
      </c>
      <c r="E17" s="623">
        <v>2522.1263922423354</v>
      </c>
      <c r="F17" s="623">
        <v>10821.928735147971</v>
      </c>
      <c r="G17" s="623">
        <v>3749.9479714498875</v>
      </c>
      <c r="H17" s="628">
        <v>9114</v>
      </c>
      <c r="I17" s="242">
        <f t="shared" si="0"/>
        <v>13</v>
      </c>
      <c r="J17" s="268">
        <f t="shared" si="1"/>
        <v>4.1712243188693668E-2</v>
      </c>
      <c r="K17" s="629">
        <v>218497</v>
      </c>
      <c r="L17" s="630">
        <v>7303</v>
      </c>
      <c r="M17" s="261">
        <f t="shared" si="2"/>
        <v>3</v>
      </c>
      <c r="N17" s="269">
        <f t="shared" si="3"/>
        <v>3.3423799869105757E-2</v>
      </c>
      <c r="O17" s="264">
        <v>327371.30877660983</v>
      </c>
      <c r="P17" s="16">
        <v>15841</v>
      </c>
      <c r="Q17" s="16">
        <v>21989.818563910772</v>
      </c>
      <c r="R17" s="632">
        <f t="shared" si="4"/>
        <v>23537.263110468099</v>
      </c>
      <c r="S17" s="263">
        <f t="shared" si="5"/>
        <v>12</v>
      </c>
      <c r="T17" s="270">
        <f t="shared" si="6"/>
        <v>7.1897757926395897E-2</v>
      </c>
      <c r="U17" s="16">
        <v>100</v>
      </c>
      <c r="V17" s="16">
        <f t="shared" si="7"/>
        <v>138.81584851910088</v>
      </c>
      <c r="W17" s="16">
        <f t="shared" si="8"/>
        <v>148.58445243651346</v>
      </c>
    </row>
    <row r="18" spans="1:23">
      <c r="A18" s="10" t="s">
        <v>24</v>
      </c>
      <c r="B18" s="16" t="s">
        <v>25</v>
      </c>
      <c r="C18" s="623">
        <v>3739.7555416353089</v>
      </c>
      <c r="D18" s="623">
        <v>7694.1680574511975</v>
      </c>
      <c r="E18" s="623">
        <v>3161.4626507510206</v>
      </c>
      <c r="F18" s="623">
        <v>12140.954446199552</v>
      </c>
      <c r="G18" s="623">
        <v>6316.4394136331084</v>
      </c>
      <c r="H18" s="628">
        <v>15364</v>
      </c>
      <c r="I18" s="242">
        <f t="shared" si="0"/>
        <v>9</v>
      </c>
      <c r="J18" s="268">
        <f t="shared" si="1"/>
        <v>7.3508444572030041E-2</v>
      </c>
      <c r="K18" s="629">
        <v>209010</v>
      </c>
      <c r="L18" s="630">
        <v>3659</v>
      </c>
      <c r="M18" s="261">
        <f t="shared" si="2"/>
        <v>7</v>
      </c>
      <c r="N18" s="269">
        <f t="shared" si="3"/>
        <v>1.7506339409597626E-2</v>
      </c>
      <c r="O18" s="264">
        <v>277590.08127096121</v>
      </c>
      <c r="P18" s="16">
        <v>22709</v>
      </c>
      <c r="Q18" s="16">
        <v>31238.869087060219</v>
      </c>
      <c r="R18" s="632">
        <f t="shared" si="4"/>
        <v>33052.780109670188</v>
      </c>
      <c r="S18" s="263">
        <f t="shared" si="5"/>
        <v>6</v>
      </c>
      <c r="T18" s="270">
        <f t="shared" si="6"/>
        <v>0.11907046519218643</v>
      </c>
      <c r="U18" s="16">
        <v>100</v>
      </c>
      <c r="V18" s="16">
        <f t="shared" si="7"/>
        <v>137.56162352838177</v>
      </c>
      <c r="W18" s="16">
        <f t="shared" si="8"/>
        <v>145.54925408283142</v>
      </c>
    </row>
    <row r="19" spans="1:23">
      <c r="A19" s="10" t="s">
        <v>51</v>
      </c>
      <c r="B19" s="16" t="s">
        <v>55</v>
      </c>
      <c r="C19" s="623">
        <v>1130.0543651250882</v>
      </c>
      <c r="D19" s="623">
        <v>1745.4596219958339</v>
      </c>
      <c r="E19" s="623">
        <v>1879.3523132928494</v>
      </c>
      <c r="F19" s="623">
        <v>5679.9525778018424</v>
      </c>
      <c r="G19" s="623">
        <v>3005.3335579899071</v>
      </c>
      <c r="H19" s="628">
        <v>5554</v>
      </c>
      <c r="I19" s="242">
        <f t="shared" si="0"/>
        <v>12</v>
      </c>
      <c r="J19" s="268">
        <f t="shared" si="1"/>
        <v>4.4190894479718655E-2</v>
      </c>
      <c r="K19" s="629">
        <v>125682</v>
      </c>
      <c r="L19" s="630">
        <v>423</v>
      </c>
      <c r="M19" s="261">
        <f t="shared" si="2"/>
        <v>14</v>
      </c>
      <c r="N19" s="269">
        <f t="shared" si="3"/>
        <v>3.3656370840693178E-3</v>
      </c>
      <c r="O19" s="264">
        <v>219226.14555436507</v>
      </c>
      <c r="P19" s="16">
        <v>8133</v>
      </c>
      <c r="Q19" s="16">
        <v>12024.670617827036</v>
      </c>
      <c r="R19" s="632">
        <f t="shared" si="4"/>
        <v>13440.152436205521</v>
      </c>
      <c r="S19" s="263">
        <f t="shared" si="5"/>
        <v>14</v>
      </c>
      <c r="T19" s="270">
        <f t="shared" si="6"/>
        <v>6.1307251478690747E-2</v>
      </c>
      <c r="U19" s="16">
        <v>100</v>
      </c>
      <c r="V19" s="16">
        <f t="shared" si="7"/>
        <v>147.85037031632896</v>
      </c>
      <c r="W19" s="16">
        <f t="shared" si="8"/>
        <v>165.2545485823868</v>
      </c>
    </row>
    <row r="20" spans="1:23">
      <c r="A20" s="10" t="s">
        <v>26</v>
      </c>
      <c r="B20" s="16" t="s">
        <v>27</v>
      </c>
      <c r="C20" s="623">
        <v>9170.6472087787879</v>
      </c>
      <c r="D20" s="623">
        <v>35620.789566336905</v>
      </c>
      <c r="E20" s="623">
        <v>7581.1704723478815</v>
      </c>
      <c r="F20" s="623">
        <v>25753.252351883075</v>
      </c>
      <c r="G20" s="623">
        <v>18227.876997452204</v>
      </c>
      <c r="H20" s="628">
        <v>60807</v>
      </c>
      <c r="I20" s="242">
        <f t="shared" si="0"/>
        <v>1</v>
      </c>
      <c r="J20" s="268">
        <f t="shared" si="1"/>
        <v>0.13525922070295557</v>
      </c>
      <c r="K20" s="629">
        <v>449559</v>
      </c>
      <c r="L20" s="630">
        <v>39203</v>
      </c>
      <c r="M20" s="261">
        <f>RANK($N20,$N$6:$N$20,0)</f>
        <v>1</v>
      </c>
      <c r="N20" s="269">
        <f t="shared" si="3"/>
        <v>8.7203236949988772E-2</v>
      </c>
      <c r="O20" s="264">
        <v>636560.98945030454</v>
      </c>
      <c r="P20" s="16">
        <v>46093</v>
      </c>
      <c r="Q20" s="16">
        <v>82628.255984984469</v>
      </c>
      <c r="R20" s="632">
        <f t="shared" si="4"/>
        <v>96353.736596798859</v>
      </c>
      <c r="S20" s="263">
        <f t="shared" si="5"/>
        <v>1</v>
      </c>
      <c r="T20" s="270">
        <f t="shared" si="6"/>
        <v>0.15136607205541153</v>
      </c>
      <c r="U20" s="16">
        <v>100</v>
      </c>
      <c r="V20" s="16">
        <f t="shared" si="7"/>
        <v>179.26421796147889</v>
      </c>
      <c r="W20" s="16">
        <f t="shared" si="8"/>
        <v>209.04201635128729</v>
      </c>
    </row>
    <row r="21" spans="1:23">
      <c r="A21" s="10" t="s">
        <v>28</v>
      </c>
      <c r="B21" s="16" t="s">
        <v>29</v>
      </c>
      <c r="C21" s="623">
        <v>19608.347274480624</v>
      </c>
      <c r="D21" s="623">
        <v>31625.504935340457</v>
      </c>
      <c r="E21" s="623">
        <v>10749.467621285761</v>
      </c>
      <c r="F21" s="623">
        <v>50055.300177155339</v>
      </c>
      <c r="G21" s="623">
        <v>27374.876741573396</v>
      </c>
      <c r="H21" s="628">
        <v>74700</v>
      </c>
      <c r="I21" s="242">
        <f>RANK($J21,$J$21:$J$35,0)</f>
        <v>6</v>
      </c>
      <c r="J21" s="268">
        <f t="shared" si="1"/>
        <v>9.5374283416110206E-2</v>
      </c>
      <c r="K21" s="629">
        <v>783230</v>
      </c>
      <c r="L21" s="630">
        <v>14041</v>
      </c>
      <c r="M21" s="261">
        <f>RANK($N21,$N$21:$N$35,0)</f>
        <v>7</v>
      </c>
      <c r="N21" s="269">
        <f t="shared" si="3"/>
        <v>1.7927045695389606E-2</v>
      </c>
      <c r="O21" s="264">
        <v>1002781.2267521685</v>
      </c>
      <c r="P21" s="16">
        <v>75238</v>
      </c>
      <c r="Q21" s="16">
        <v>118700.21366455581</v>
      </c>
      <c r="R21" s="632">
        <f t="shared" si="4"/>
        <v>139413.49674983558</v>
      </c>
      <c r="S21" s="263">
        <f>RANK($T21,$T$21:$T$35,0)</f>
        <v>3</v>
      </c>
      <c r="T21" s="270">
        <f t="shared" si="6"/>
        <v>0.13902683160650237</v>
      </c>
      <c r="U21" s="16">
        <v>100</v>
      </c>
      <c r="V21" s="16">
        <f t="shared" si="7"/>
        <v>157.76630647353173</v>
      </c>
      <c r="W21" s="16">
        <f t="shared" si="8"/>
        <v>185.29665428352106</v>
      </c>
    </row>
    <row r="22" spans="1:23">
      <c r="A22" s="10" t="s">
        <v>30</v>
      </c>
      <c r="B22" s="16" t="s">
        <v>253</v>
      </c>
      <c r="C22" s="623">
        <v>8044.7625824366241</v>
      </c>
      <c r="D22" s="623">
        <v>16075.485307983419</v>
      </c>
      <c r="E22" s="623">
        <v>8183.7385881509899</v>
      </c>
      <c r="F22" s="623">
        <v>29211.655495066767</v>
      </c>
      <c r="G22" s="623">
        <v>16230.792453434309</v>
      </c>
      <c r="H22" s="628">
        <v>45624</v>
      </c>
      <c r="I22" s="242">
        <f t="shared" ref="I22:I35" si="9">RANK($J22,$J$21:$J$35,0)</f>
        <v>8</v>
      </c>
      <c r="J22" s="268">
        <f t="shared" si="1"/>
        <v>8.7477207493773398E-2</v>
      </c>
      <c r="K22" s="629">
        <v>521553</v>
      </c>
      <c r="L22" s="630">
        <v>15682</v>
      </c>
      <c r="M22" s="261">
        <f t="shared" ref="M22:M35" si="10">RANK($N22,$N$21:$N$35,0)</f>
        <v>3</v>
      </c>
      <c r="N22" s="269">
        <f t="shared" si="3"/>
        <v>3.0067893387632705E-2</v>
      </c>
      <c r="O22" s="264">
        <v>688616.69568858924</v>
      </c>
      <c r="P22" s="16">
        <v>44792</v>
      </c>
      <c r="Q22" s="16">
        <v>68353.8247686658</v>
      </c>
      <c r="R22" s="632">
        <f t="shared" si="4"/>
        <v>77746.434427072105</v>
      </c>
      <c r="S22" s="263">
        <f t="shared" ref="S22:S35" si="11">RANK($T22,$T$21:$T$35,0)</f>
        <v>8</v>
      </c>
      <c r="T22" s="270">
        <f t="shared" si="6"/>
        <v>0.11290233727099627</v>
      </c>
      <c r="U22" s="16">
        <v>100</v>
      </c>
      <c r="V22" s="16">
        <f t="shared" si="7"/>
        <v>152.60275220723744</v>
      </c>
      <c r="W22" s="16">
        <f t="shared" si="8"/>
        <v>173.57214330030385</v>
      </c>
    </row>
    <row r="23" spans="1:23">
      <c r="A23" s="10" t="s">
        <v>31</v>
      </c>
      <c r="B23" s="16" t="s">
        <v>32</v>
      </c>
      <c r="C23" s="623">
        <v>8882.5505699749847</v>
      </c>
      <c r="D23" s="623">
        <v>35427.318158646696</v>
      </c>
      <c r="E23" s="623">
        <v>7163.742602221987</v>
      </c>
      <c r="F23" s="623">
        <v>24878.225191971516</v>
      </c>
      <c r="G23" s="623">
        <v>17847.556813465988</v>
      </c>
      <c r="H23" s="628">
        <v>60092</v>
      </c>
      <c r="I23" s="242">
        <f t="shared" si="9"/>
        <v>1</v>
      </c>
      <c r="J23" s="268">
        <f t="shared" si="1"/>
        <v>0.14085140893599665</v>
      </c>
      <c r="K23" s="629">
        <v>426634</v>
      </c>
      <c r="L23" s="630">
        <v>38793</v>
      </c>
      <c r="M23" s="261">
        <f t="shared" si="10"/>
        <v>1</v>
      </c>
      <c r="N23" s="269">
        <f t="shared" si="3"/>
        <v>9.0928055429243801E-2</v>
      </c>
      <c r="O23" s="264">
        <v>591640.50232696231</v>
      </c>
      <c r="P23" s="16">
        <v>44814</v>
      </c>
      <c r="Q23" s="16">
        <v>80481.097736986558</v>
      </c>
      <c r="R23" s="632">
        <f t="shared" si="4"/>
        <v>94199.393336281166</v>
      </c>
      <c r="S23" s="263">
        <f t="shared" si="11"/>
        <v>1</v>
      </c>
      <c r="T23" s="270">
        <f t="shared" si="6"/>
        <v>0.15921728307272498</v>
      </c>
      <c r="U23" s="16">
        <v>100</v>
      </c>
      <c r="V23" s="16">
        <f t="shared" si="7"/>
        <v>179.58918582805944</v>
      </c>
      <c r="W23" s="16">
        <f t="shared" si="8"/>
        <v>210.20081522801172</v>
      </c>
    </row>
    <row r="24" spans="1:23">
      <c r="A24" s="10" t="s">
        <v>33</v>
      </c>
      <c r="B24" s="16" t="s">
        <v>34</v>
      </c>
      <c r="C24" s="623">
        <v>8442.9387181422189</v>
      </c>
      <c r="D24" s="623">
        <v>12953.421689242798</v>
      </c>
      <c r="E24" s="623">
        <v>5013.5128632707811</v>
      </c>
      <c r="F24" s="623">
        <v>25806.400026674903</v>
      </c>
      <c r="G24" s="623">
        <v>11232.720653735323</v>
      </c>
      <c r="H24" s="628">
        <v>37786</v>
      </c>
      <c r="I24" s="242">
        <f t="shared" si="9"/>
        <v>5</v>
      </c>
      <c r="J24" s="268">
        <f t="shared" si="1"/>
        <v>9.632454534794202E-2</v>
      </c>
      <c r="K24" s="629">
        <v>392278</v>
      </c>
      <c r="L24" s="630">
        <v>3731</v>
      </c>
      <c r="M24" s="261">
        <f t="shared" si="10"/>
        <v>11</v>
      </c>
      <c r="N24" s="269">
        <f t="shared" si="3"/>
        <v>9.5111120174977953E-3</v>
      </c>
      <c r="O24" s="264">
        <v>517772.38285222155</v>
      </c>
      <c r="P24" s="16">
        <v>35690</v>
      </c>
      <c r="Q24" s="16">
        <v>55574.300235177805</v>
      </c>
      <c r="R24" s="632">
        <f t="shared" si="4"/>
        <v>63448.993951066019</v>
      </c>
      <c r="S24" s="263">
        <f t="shared" si="11"/>
        <v>6</v>
      </c>
      <c r="T24" s="270">
        <f t="shared" si="6"/>
        <v>0.12254225225677037</v>
      </c>
      <c r="U24" s="16">
        <v>100</v>
      </c>
      <c r="V24" s="16">
        <f t="shared" si="7"/>
        <v>155.71392612826506</v>
      </c>
      <c r="W24" s="16">
        <f t="shared" si="8"/>
        <v>177.77807215204825</v>
      </c>
    </row>
    <row r="25" spans="1:23">
      <c r="A25" s="10" t="s">
        <v>35</v>
      </c>
      <c r="B25" s="16" t="s">
        <v>61</v>
      </c>
      <c r="C25" s="623">
        <v>6663.4096204328471</v>
      </c>
      <c r="D25" s="623">
        <v>12874.920053120395</v>
      </c>
      <c r="E25" s="623">
        <v>5325.8513120208099</v>
      </c>
      <c r="F25" s="623">
        <v>20545.723447411914</v>
      </c>
      <c r="G25" s="623">
        <v>11645.985205473346</v>
      </c>
      <c r="H25" s="628">
        <v>29311</v>
      </c>
      <c r="I25" s="242">
        <f t="shared" si="9"/>
        <v>10</v>
      </c>
      <c r="J25" s="268">
        <f t="shared" si="1"/>
        <v>8.136203900581257E-2</v>
      </c>
      <c r="K25" s="629">
        <v>360254</v>
      </c>
      <c r="L25" s="630">
        <v>10372</v>
      </c>
      <c r="M25" s="261">
        <f t="shared" si="10"/>
        <v>4</v>
      </c>
      <c r="N25" s="269">
        <f t="shared" si="3"/>
        <v>2.8790797603912795E-2</v>
      </c>
      <c r="O25" s="264">
        <v>517338.84885262424</v>
      </c>
      <c r="P25" s="16">
        <v>29697</v>
      </c>
      <c r="Q25" s="16">
        <v>49125.929242528618</v>
      </c>
      <c r="R25" s="632">
        <f t="shared" si="4"/>
        <v>57055.88963845931</v>
      </c>
      <c r="S25" s="263">
        <f t="shared" si="11"/>
        <v>9</v>
      </c>
      <c r="T25" s="270">
        <f t="shared" si="6"/>
        <v>0.11028727064476261</v>
      </c>
      <c r="U25" s="16">
        <v>100</v>
      </c>
      <c r="V25" s="16">
        <f t="shared" si="7"/>
        <v>165.42387864945488</v>
      </c>
      <c r="W25" s="16">
        <f t="shared" si="8"/>
        <v>192.12677926544538</v>
      </c>
    </row>
    <row r="26" spans="1:23">
      <c r="A26" s="10" t="s">
        <v>36</v>
      </c>
      <c r="B26" s="16" t="s">
        <v>37</v>
      </c>
      <c r="C26" s="623">
        <v>3440.4349507718985</v>
      </c>
      <c r="D26" s="623">
        <v>11740.393133518906</v>
      </c>
      <c r="E26" s="623">
        <v>4310.0106048505386</v>
      </c>
      <c r="F26" s="623">
        <v>14186.260305559361</v>
      </c>
      <c r="G26" s="623">
        <v>9417.2473211986271</v>
      </c>
      <c r="H26" s="628">
        <v>24475</v>
      </c>
      <c r="I26" s="242">
        <f t="shared" si="9"/>
        <v>9</v>
      </c>
      <c r="J26" s="268">
        <f t="shared" si="1"/>
        <v>8.5850383564430754E-2</v>
      </c>
      <c r="K26" s="629">
        <v>285089</v>
      </c>
      <c r="L26" s="630">
        <v>6461</v>
      </c>
      <c r="M26" s="261">
        <f t="shared" si="10"/>
        <v>5</v>
      </c>
      <c r="N26" s="269">
        <f t="shared" si="3"/>
        <v>2.2663098190389669E-2</v>
      </c>
      <c r="O26" s="264">
        <v>390798.1601792039</v>
      </c>
      <c r="P26" s="16">
        <v>27937</v>
      </c>
      <c r="Q26" s="16">
        <v>40658.221982779083</v>
      </c>
      <c r="R26" s="632">
        <f t="shared" si="4"/>
        <v>43094.346315899333</v>
      </c>
      <c r="S26" s="263">
        <f t="shared" si="11"/>
        <v>10</v>
      </c>
      <c r="T26" s="270">
        <f t="shared" si="6"/>
        <v>0.11027264380195148</v>
      </c>
      <c r="U26" s="16">
        <v>100</v>
      </c>
      <c r="V26" s="16">
        <f t="shared" si="7"/>
        <v>145.5353902809145</v>
      </c>
      <c r="W26" s="16">
        <f t="shared" si="8"/>
        <v>154.25545447220293</v>
      </c>
    </row>
    <row r="27" spans="1:23">
      <c r="A27" s="10" t="s">
        <v>38</v>
      </c>
      <c r="B27" s="16" t="s">
        <v>39</v>
      </c>
      <c r="C27" s="623">
        <v>6449.4870544916212</v>
      </c>
      <c r="D27" s="623">
        <v>12666.489633717731</v>
      </c>
      <c r="E27" s="623">
        <v>4393.5468803278336</v>
      </c>
      <c r="F27" s="623">
        <v>18765.727779160898</v>
      </c>
      <c r="G27" s="623">
        <v>9820.8575028866235</v>
      </c>
      <c r="H27" s="628">
        <v>37346</v>
      </c>
      <c r="I27" s="242">
        <f t="shared" si="9"/>
        <v>2</v>
      </c>
      <c r="J27" s="268">
        <f t="shared" si="1"/>
        <v>0.12223069546405181</v>
      </c>
      <c r="K27" s="629">
        <v>305537</v>
      </c>
      <c r="L27" s="630">
        <v>4007</v>
      </c>
      <c r="M27" s="261">
        <f t="shared" si="10"/>
        <v>10</v>
      </c>
      <c r="N27" s="269">
        <f t="shared" si="3"/>
        <v>1.3114614596595502E-2</v>
      </c>
      <c r="O27" s="264">
        <v>416129.73219221632</v>
      </c>
      <c r="P27" s="16">
        <v>23374</v>
      </c>
      <c r="Q27" s="16">
        <v>43097.756754186099</v>
      </c>
      <c r="R27" s="632">
        <f t="shared" si="4"/>
        <v>52096.108850584707</v>
      </c>
      <c r="S27" s="263">
        <f t="shared" si="11"/>
        <v>5</v>
      </c>
      <c r="T27" s="270">
        <f t="shared" si="6"/>
        <v>0.12519198898895492</v>
      </c>
      <c r="U27" s="16">
        <v>100</v>
      </c>
      <c r="V27" s="16">
        <f t="shared" si="7"/>
        <v>184.38331802081842</v>
      </c>
      <c r="W27" s="16">
        <f t="shared" si="8"/>
        <v>222.88058890470057</v>
      </c>
    </row>
    <row r="28" spans="1:23">
      <c r="A28" s="10" t="s">
        <v>40</v>
      </c>
      <c r="B28" s="16" t="s">
        <v>41</v>
      </c>
      <c r="C28" s="623">
        <v>4600.2361952514448</v>
      </c>
      <c r="D28" s="623">
        <v>8504.3467745164471</v>
      </c>
      <c r="E28" s="623">
        <v>3490.6221624223908</v>
      </c>
      <c r="F28" s="623">
        <v>13886.998130049973</v>
      </c>
      <c r="G28" s="623">
        <v>6946.693148602104</v>
      </c>
      <c r="H28" s="628">
        <v>16322</v>
      </c>
      <c r="I28" s="242">
        <f t="shared" si="9"/>
        <v>11</v>
      </c>
      <c r="J28" s="268">
        <f t="shared" si="1"/>
        <v>6.4180501270083443E-2</v>
      </c>
      <c r="K28" s="629">
        <v>254314</v>
      </c>
      <c r="L28" s="630">
        <v>5161</v>
      </c>
      <c r="M28" s="261">
        <f t="shared" si="10"/>
        <v>6</v>
      </c>
      <c r="N28" s="269">
        <f t="shared" si="3"/>
        <v>2.0293810014391657E-2</v>
      </c>
      <c r="O28" s="264">
        <v>340655.96270918241</v>
      </c>
      <c r="P28" s="16">
        <v>25267</v>
      </c>
      <c r="Q28" s="16">
        <v>35032.842952226485</v>
      </c>
      <c r="R28" s="632">
        <f t="shared" si="4"/>
        <v>37428.896410842361</v>
      </c>
      <c r="S28" s="263">
        <f t="shared" si="11"/>
        <v>11</v>
      </c>
      <c r="T28" s="270">
        <f t="shared" si="6"/>
        <v>0.10987301121394245</v>
      </c>
      <c r="U28" s="16">
        <v>100</v>
      </c>
      <c r="V28" s="16">
        <f t="shared" si="7"/>
        <v>138.65058357631094</v>
      </c>
      <c r="W28" s="16">
        <f t="shared" si="8"/>
        <v>148.13351965347036</v>
      </c>
    </row>
    <row r="29" spans="1:23">
      <c r="A29" s="10" t="s">
        <v>42</v>
      </c>
      <c r="B29" s="16" t="s">
        <v>43</v>
      </c>
      <c r="C29" s="623">
        <v>4773.4199632869941</v>
      </c>
      <c r="D29" s="623">
        <v>18271.243618508943</v>
      </c>
      <c r="E29" s="623">
        <v>2900.7926237888487</v>
      </c>
      <c r="F29" s="623">
        <v>12186.413902606992</v>
      </c>
      <c r="G29" s="623">
        <v>7907.992987844229</v>
      </c>
      <c r="H29" s="628">
        <v>20770</v>
      </c>
      <c r="I29" s="242">
        <f t="shared" si="9"/>
        <v>4</v>
      </c>
      <c r="J29" s="268">
        <f t="shared" si="1"/>
        <v>9.8535488431449755E-2</v>
      </c>
      <c r="K29" s="629">
        <v>210787</v>
      </c>
      <c r="L29" s="630">
        <v>12549</v>
      </c>
      <c r="M29" s="261">
        <f t="shared" si="10"/>
        <v>2</v>
      </c>
      <c r="N29" s="269">
        <f t="shared" si="3"/>
        <v>5.9534031984894702E-2</v>
      </c>
      <c r="O29" s="264">
        <v>302050.57207689178</v>
      </c>
      <c r="P29" s="16">
        <v>27928</v>
      </c>
      <c r="Q29" s="16">
        <v>41806.305856058309</v>
      </c>
      <c r="R29" s="632">
        <f t="shared" si="4"/>
        <v>46039.863096036002</v>
      </c>
      <c r="S29" s="263">
        <f t="shared" si="11"/>
        <v>2</v>
      </c>
      <c r="T29" s="270">
        <f t="shared" si="6"/>
        <v>0.1524243532447799</v>
      </c>
      <c r="U29" s="16">
        <v>100</v>
      </c>
      <c r="V29" s="16">
        <f t="shared" si="7"/>
        <v>149.69316046998821</v>
      </c>
      <c r="W29" s="16">
        <f t="shared" si="8"/>
        <v>164.85198759680608</v>
      </c>
    </row>
    <row r="30" spans="1:23">
      <c r="A30" s="10" t="s">
        <v>44</v>
      </c>
      <c r="B30" s="16" t="s">
        <v>45</v>
      </c>
      <c r="C30" s="623">
        <v>4053.8168941066879</v>
      </c>
      <c r="D30" s="623">
        <v>9215.5043945259549</v>
      </c>
      <c r="E30" s="623">
        <v>3535.5039603174714</v>
      </c>
      <c r="F30" s="623">
        <v>12513.558269638139</v>
      </c>
      <c r="G30" s="623">
        <v>7921.2236600662372</v>
      </c>
      <c r="H30" s="628">
        <v>22899</v>
      </c>
      <c r="I30" s="242">
        <f t="shared" si="9"/>
        <v>3</v>
      </c>
      <c r="J30" s="268">
        <f t="shared" si="1"/>
        <v>0.10625640930457016</v>
      </c>
      <c r="K30" s="629">
        <v>215507</v>
      </c>
      <c r="L30" s="630">
        <v>1281</v>
      </c>
      <c r="M30" s="261">
        <f t="shared" si="10"/>
        <v>12</v>
      </c>
      <c r="N30" s="269">
        <f t="shared" si="3"/>
        <v>5.9441224646995224E-3</v>
      </c>
      <c r="O30" s="264">
        <v>316427.96404752479</v>
      </c>
      <c r="P30" s="16">
        <v>17687</v>
      </c>
      <c r="Q30" s="16">
        <v>32894.199361186365</v>
      </c>
      <c r="R30" s="632">
        <f t="shared" si="4"/>
        <v>37239.607178654493</v>
      </c>
      <c r="S30" s="263">
        <f t="shared" si="11"/>
        <v>7</v>
      </c>
      <c r="T30" s="270">
        <f t="shared" si="6"/>
        <v>0.11768747206255582</v>
      </c>
      <c r="U30" s="16">
        <v>100</v>
      </c>
      <c r="V30" s="16">
        <f t="shared" si="7"/>
        <v>185.9795293785626</v>
      </c>
      <c r="W30" s="16">
        <f t="shared" si="8"/>
        <v>210.54790059735677</v>
      </c>
    </row>
    <row r="31" spans="1:23">
      <c r="A31" s="10" t="s">
        <v>46</v>
      </c>
      <c r="B31" s="16" t="s">
        <v>47</v>
      </c>
      <c r="C31" s="623">
        <v>2205.4936151512547</v>
      </c>
      <c r="D31" s="623">
        <v>2589.3777538546337</v>
      </c>
      <c r="E31" s="623">
        <v>2133.1422065496472</v>
      </c>
      <c r="F31" s="623">
        <v>9476.9673998041199</v>
      </c>
      <c r="G31" s="623">
        <v>3299.9459474108057</v>
      </c>
      <c r="H31" s="628">
        <v>7965</v>
      </c>
      <c r="I31" s="242">
        <f t="shared" si="9"/>
        <v>13</v>
      </c>
      <c r="J31" s="268">
        <f t="shared" si="1"/>
        <v>4.5170473878819499E-2</v>
      </c>
      <c r="K31" s="629">
        <v>176332</v>
      </c>
      <c r="L31" s="630">
        <v>2848</v>
      </c>
      <c r="M31" s="261">
        <f t="shared" si="10"/>
        <v>8</v>
      </c>
      <c r="N31" s="269">
        <f t="shared" si="3"/>
        <v>1.6151350860876074E-2</v>
      </c>
      <c r="O31" s="264">
        <v>263097.82374222722</v>
      </c>
      <c r="P31" s="16">
        <v>13495</v>
      </c>
      <c r="Q31" s="16">
        <v>18604.497706018421</v>
      </c>
      <c r="R31" s="632">
        <f t="shared" si="4"/>
        <v>19704.926922770461</v>
      </c>
      <c r="S31" s="263">
        <f t="shared" si="11"/>
        <v>12</v>
      </c>
      <c r="T31" s="270">
        <f t="shared" si="6"/>
        <v>7.4895818758563978E-2</v>
      </c>
      <c r="U31" s="16">
        <v>100</v>
      </c>
      <c r="V31" s="16">
        <f t="shared" si="7"/>
        <v>137.8621541757571</v>
      </c>
      <c r="W31" s="16">
        <f t="shared" si="8"/>
        <v>146.01650183601674</v>
      </c>
    </row>
    <row r="32" spans="1:23">
      <c r="A32" s="12" t="s">
        <v>56</v>
      </c>
      <c r="B32" s="16" t="s">
        <v>63</v>
      </c>
      <c r="C32" s="623">
        <v>1288.8171721764545</v>
      </c>
      <c r="D32" s="623">
        <v>2095.0957757624092</v>
      </c>
      <c r="E32" s="623">
        <v>1922.1043384331019</v>
      </c>
      <c r="F32" s="623">
        <v>5787.4647303903384</v>
      </c>
      <c r="G32" s="623">
        <v>3271.1000236853451</v>
      </c>
      <c r="H32" s="628">
        <v>6904</v>
      </c>
      <c r="I32" s="242">
        <f t="shared" si="9"/>
        <v>12</v>
      </c>
      <c r="J32" s="268">
        <f t="shared" si="1"/>
        <v>5.4815838156714224E-2</v>
      </c>
      <c r="K32" s="629">
        <v>125949</v>
      </c>
      <c r="L32" s="630">
        <v>549</v>
      </c>
      <c r="M32" s="261">
        <f t="shared" si="10"/>
        <v>13</v>
      </c>
      <c r="N32" s="269">
        <f t="shared" si="3"/>
        <v>4.358907176714384E-3</v>
      </c>
      <c r="O32" s="264">
        <v>216638.29338808445</v>
      </c>
      <c r="P32" s="16">
        <v>8296</v>
      </c>
      <c r="Q32" s="16">
        <v>12876.550799387349</v>
      </c>
      <c r="R32" s="632">
        <f t="shared" si="4"/>
        <v>14364.582040447649</v>
      </c>
      <c r="S32" s="263">
        <f t="shared" si="11"/>
        <v>14</v>
      </c>
      <c r="T32" s="270">
        <f t="shared" si="6"/>
        <v>6.6306754063627293E-2</v>
      </c>
      <c r="U32" s="16">
        <v>100</v>
      </c>
      <c r="V32" s="16">
        <f t="shared" si="7"/>
        <v>155.21396817005001</v>
      </c>
      <c r="W32" s="16">
        <f t="shared" si="8"/>
        <v>173.1506996196679</v>
      </c>
    </row>
    <row r="33" spans="1:23">
      <c r="A33" s="10" t="s">
        <v>57</v>
      </c>
      <c r="B33" s="16" t="s">
        <v>64</v>
      </c>
      <c r="C33" s="623">
        <v>1049.972540750498</v>
      </c>
      <c r="D33" s="623">
        <v>1008.6958952589811</v>
      </c>
      <c r="E33" s="623">
        <v>655.68225448292981</v>
      </c>
      <c r="F33" s="623">
        <v>4005.9788248338859</v>
      </c>
      <c r="G33" s="623">
        <v>1196.8484670037867</v>
      </c>
      <c r="H33" s="628">
        <v>4060</v>
      </c>
      <c r="I33" s="242">
        <f t="shared" si="9"/>
        <v>15</v>
      </c>
      <c r="J33" s="268">
        <f t="shared" si="1"/>
        <v>3.3125010198586886E-2</v>
      </c>
      <c r="K33" s="629">
        <v>122566</v>
      </c>
      <c r="L33" s="630">
        <v>149</v>
      </c>
      <c r="M33" s="261">
        <f t="shared" si="10"/>
        <v>15</v>
      </c>
      <c r="N33" s="269">
        <f t="shared" si="3"/>
        <v>1.2156715565491245E-3</v>
      </c>
      <c r="O33" s="264">
        <v>170848.96287146039</v>
      </c>
      <c r="P33" s="16">
        <v>5540</v>
      </c>
      <c r="Q33" s="16">
        <v>7693.6387711751076</v>
      </c>
      <c r="R33" s="632">
        <f t="shared" si="4"/>
        <v>7917.1779823300822</v>
      </c>
      <c r="S33" s="263">
        <f t="shared" si="11"/>
        <v>15</v>
      </c>
      <c r="T33" s="270">
        <f t="shared" si="6"/>
        <v>4.6340216816455802E-2</v>
      </c>
      <c r="U33" s="16">
        <v>100</v>
      </c>
      <c r="V33" s="16">
        <f t="shared" si="7"/>
        <v>138.87434605009219</v>
      </c>
      <c r="W33" s="16">
        <f t="shared" si="8"/>
        <v>142.90934986155384</v>
      </c>
    </row>
    <row r="34" spans="1:23">
      <c r="A34" s="10" t="s">
        <v>48</v>
      </c>
      <c r="B34" s="16" t="s">
        <v>49</v>
      </c>
      <c r="C34" s="623">
        <v>2692.8858651591472</v>
      </c>
      <c r="D34" s="623">
        <v>9023.8315946515704</v>
      </c>
      <c r="E34" s="623">
        <v>3870.1794587073682</v>
      </c>
      <c r="F34" s="623">
        <v>10009.219850405805</v>
      </c>
      <c r="G34" s="623">
        <v>6890.6749176700559</v>
      </c>
      <c r="H34" s="628">
        <v>15755</v>
      </c>
      <c r="I34" s="242">
        <f t="shared" si="9"/>
        <v>7</v>
      </c>
      <c r="J34" s="268">
        <f t="shared" si="1"/>
        <v>9.3717841188262513E-2</v>
      </c>
      <c r="K34" s="629">
        <v>168111</v>
      </c>
      <c r="L34" s="630">
        <v>2389</v>
      </c>
      <c r="M34" s="261">
        <f t="shared" si="10"/>
        <v>9</v>
      </c>
      <c r="N34" s="269">
        <f t="shared" si="3"/>
        <v>1.4210848784434094E-2</v>
      </c>
      <c r="O34" s="264">
        <v>247405.01861939309</v>
      </c>
      <c r="P34" s="16">
        <v>16437</v>
      </c>
      <c r="Q34" s="16">
        <v>26718.605607694884</v>
      </c>
      <c r="R34" s="632">
        <f t="shared" si="4"/>
        <v>32486.791686593948</v>
      </c>
      <c r="S34" s="263">
        <f t="shared" si="11"/>
        <v>4</v>
      </c>
      <c r="T34" s="270">
        <f t="shared" si="6"/>
        <v>0.13131015639004276</v>
      </c>
      <c r="U34" s="16">
        <v>100</v>
      </c>
      <c r="V34" s="16">
        <f t="shared" si="7"/>
        <v>162.55159462003337</v>
      </c>
      <c r="W34" s="16">
        <f t="shared" si="8"/>
        <v>197.64428841390733</v>
      </c>
    </row>
    <row r="35" spans="1:23">
      <c r="A35" s="10" t="s">
        <v>58</v>
      </c>
      <c r="B35" s="16" t="s">
        <v>65</v>
      </c>
      <c r="C35" s="623">
        <v>1687.558171672631</v>
      </c>
      <c r="D35" s="623">
        <v>1283.6753474901834</v>
      </c>
      <c r="E35" s="623">
        <v>1961.4414162464293</v>
      </c>
      <c r="F35" s="623">
        <v>5994.8119433272341</v>
      </c>
      <c r="G35" s="623">
        <v>2757.0519868460242</v>
      </c>
      <c r="H35" s="628">
        <v>5118</v>
      </c>
      <c r="I35" s="242">
        <f t="shared" si="9"/>
        <v>14</v>
      </c>
      <c r="J35" s="268">
        <f t="shared" si="1"/>
        <v>4.155637473814125E-2</v>
      </c>
      <c r="K35" s="629">
        <v>123158</v>
      </c>
      <c r="L35" s="630">
        <v>230</v>
      </c>
      <c r="M35" s="261">
        <f t="shared" si="10"/>
        <v>14</v>
      </c>
      <c r="N35" s="269">
        <f t="shared" si="3"/>
        <v>1.8675197713506227E-3</v>
      </c>
      <c r="O35" s="264">
        <v>197972.08842428165</v>
      </c>
      <c r="P35" s="16">
        <v>9121</v>
      </c>
      <c r="Q35" s="16">
        <v>12810.354301240166</v>
      </c>
      <c r="R35" s="632">
        <f t="shared" si="4"/>
        <v>13684.538865582501</v>
      </c>
      <c r="S35" s="263">
        <f t="shared" si="11"/>
        <v>13</v>
      </c>
      <c r="T35" s="270">
        <f t="shared" si="6"/>
        <v>6.9123576836016581E-2</v>
      </c>
      <c r="U35" s="16">
        <v>100</v>
      </c>
      <c r="V35" s="16">
        <f t="shared" si="7"/>
        <v>140.44901108694404</v>
      </c>
      <c r="W35" s="16">
        <f t="shared" si="8"/>
        <v>150.03331724133869</v>
      </c>
    </row>
    <row r="36" spans="1:23">
      <c r="A36" s="165" t="s">
        <v>71</v>
      </c>
      <c r="B36" s="16" t="s">
        <v>114</v>
      </c>
      <c r="C36" s="623">
        <v>7243.6426705985659</v>
      </c>
      <c r="D36" s="623">
        <v>13577.576009731389</v>
      </c>
      <c r="E36" s="623">
        <v>6083.0657713938954</v>
      </c>
      <c r="F36" s="623">
        <v>22938.571123021848</v>
      </c>
      <c r="G36" s="623">
        <v>12989.729281938049</v>
      </c>
      <c r="H36" s="628">
        <v>31030</v>
      </c>
      <c r="I36" s="655" t="s">
        <v>916</v>
      </c>
      <c r="J36" s="268">
        <f>H36/K36</f>
        <v>7.4275852329169126E-2</v>
      </c>
      <c r="K36" s="631">
        <v>417767</v>
      </c>
      <c r="L36" s="630">
        <v>11254</v>
      </c>
      <c r="M36" s="656" t="s">
        <v>916</v>
      </c>
      <c r="N36" s="269">
        <f>L36/K36</f>
        <v>2.6938460912422475E-2</v>
      </c>
      <c r="O36" s="264">
        <v>639999.20695781289</v>
      </c>
      <c r="P36" s="16">
        <v>33082</v>
      </c>
      <c r="Q36" s="16">
        <v>54528.166480937602</v>
      </c>
      <c r="R36" s="632">
        <f t="shared" si="4"/>
        <v>62832.584856683752</v>
      </c>
      <c r="S36" s="657" t="s">
        <v>916</v>
      </c>
      <c r="T36" s="270">
        <f t="shared" si="6"/>
        <v>9.8176035491283842E-2</v>
      </c>
      <c r="U36" s="16">
        <v>100</v>
      </c>
      <c r="V36" s="16">
        <f t="shared" si="7"/>
        <v>164.82729726418478</v>
      </c>
      <c r="W36" s="16">
        <f t="shared" si="8"/>
        <v>189.92982545397425</v>
      </c>
    </row>
    <row r="37" spans="1:23">
      <c r="A37" s="165" t="s">
        <v>69</v>
      </c>
      <c r="B37" s="16" t="s">
        <v>411</v>
      </c>
      <c r="C37" s="623">
        <v>5413.3654483613609</v>
      </c>
      <c r="D37" s="623">
        <v>11149.019712353414</v>
      </c>
      <c r="E37" s="623">
        <v>4466.4603912794209</v>
      </c>
      <c r="F37" s="623">
        <v>17709.247963116151</v>
      </c>
      <c r="G37" s="623">
        <v>10204.831974421539</v>
      </c>
      <c r="H37" s="628">
        <v>25842</v>
      </c>
      <c r="I37" s="655" t="s">
        <v>916</v>
      </c>
      <c r="J37" s="268">
        <f t="shared" si="1"/>
        <v>8.9920872972239427E-2</v>
      </c>
      <c r="K37" s="631">
        <v>287386</v>
      </c>
      <c r="L37" s="630">
        <v>9500</v>
      </c>
      <c r="M37" s="656" t="s">
        <v>916</v>
      </c>
      <c r="N37" s="269">
        <f t="shared" si="3"/>
        <v>3.3056585915806617E-2</v>
      </c>
      <c r="O37" s="264">
        <v>265806</v>
      </c>
      <c r="P37" s="16">
        <v>25693</v>
      </c>
      <c r="Q37" s="16">
        <v>41999.067004421799</v>
      </c>
      <c r="R37" s="632">
        <f t="shared" si="4"/>
        <v>48942.925489531888</v>
      </c>
      <c r="S37" s="657" t="s">
        <v>916</v>
      </c>
      <c r="T37" s="270">
        <f t="shared" si="6"/>
        <v>0.1841302509707527</v>
      </c>
      <c r="U37" s="16">
        <v>100</v>
      </c>
      <c r="V37" s="16">
        <f t="shared" si="7"/>
        <v>163.46501772631376</v>
      </c>
      <c r="W37" s="16">
        <f t="shared" si="8"/>
        <v>190.49128357736305</v>
      </c>
    </row>
    <row r="38" spans="1:23">
      <c r="A38" s="166" t="s">
        <v>73</v>
      </c>
      <c r="B38" s="16" t="s">
        <v>74</v>
      </c>
      <c r="C38" s="623">
        <v>11076.767531669126</v>
      </c>
      <c r="D38" s="623">
        <v>19100.972242737043</v>
      </c>
      <c r="E38" s="623">
        <v>11417.067474064655</v>
      </c>
      <c r="F38" s="623">
        <v>40003.761324383187</v>
      </c>
      <c r="G38" s="623">
        <v>20800.258918829808</v>
      </c>
      <c r="H38" s="628">
        <v>45857</v>
      </c>
      <c r="I38" s="655" t="s">
        <v>916</v>
      </c>
      <c r="J38" s="268">
        <f t="shared" si="1"/>
        <v>5.6595902761236307E-2</v>
      </c>
      <c r="K38" s="631">
        <v>810253</v>
      </c>
      <c r="L38" s="630">
        <v>22763</v>
      </c>
      <c r="M38" s="656" t="s">
        <v>916</v>
      </c>
      <c r="N38" s="269">
        <f t="shared" si="3"/>
        <v>2.8093694191814161E-2</v>
      </c>
      <c r="O38" s="264">
        <v>1333702.4152540471</v>
      </c>
      <c r="P38" s="16">
        <v>57636</v>
      </c>
      <c r="Q38" s="16">
        <v>90717.931899110205</v>
      </c>
      <c r="R38" s="632">
        <f t="shared" si="4"/>
        <v>102398.82749168383</v>
      </c>
      <c r="S38" s="657" t="s">
        <v>916</v>
      </c>
      <c r="T38" s="270">
        <f t="shared" si="6"/>
        <v>7.6777867626623905E-2</v>
      </c>
      <c r="U38" s="16">
        <v>100</v>
      </c>
      <c r="V38" s="16">
        <f t="shared" si="7"/>
        <v>157.39803577470715</v>
      </c>
      <c r="W38" s="16">
        <f t="shared" si="8"/>
        <v>177.66470173447814</v>
      </c>
    </row>
    <row r="39" spans="1:23">
      <c r="A39" s="814" t="s">
        <v>1413</v>
      </c>
      <c r="B39" s="16" t="s">
        <v>1406</v>
      </c>
      <c r="C39" s="623">
        <v>16425.722651664448</v>
      </c>
      <c r="D39" s="623">
        <v>27400.19320469601</v>
      </c>
      <c r="E39" s="623">
        <v>19098.520729321579</v>
      </c>
      <c r="F39" s="623">
        <v>66403.063086664741</v>
      </c>
      <c r="G39" s="623">
        <v>30386.163877318901</v>
      </c>
      <c r="H39" s="628">
        <v>68017</v>
      </c>
      <c r="I39" s="655" t="s">
        <v>916</v>
      </c>
      <c r="J39" s="268">
        <f t="shared" si="1"/>
        <v>4.9631468994287241E-2</v>
      </c>
      <c r="K39" s="631">
        <v>1370441</v>
      </c>
      <c r="L39" s="630">
        <v>27537</v>
      </c>
      <c r="M39" s="656" t="s">
        <v>916</v>
      </c>
      <c r="N39" s="269">
        <f t="shared" si="3"/>
        <v>2.0093531936070212E-2</v>
      </c>
      <c r="O39" s="264">
        <v>2315839.2802083921</v>
      </c>
      <c r="P39" s="16">
        <v>93357</v>
      </c>
      <c r="Q39" s="16">
        <v>143542.479710568</v>
      </c>
      <c r="R39" s="632">
        <f t="shared" si="4"/>
        <v>159713.66354966568</v>
      </c>
      <c r="S39" s="657" t="s">
        <v>916</v>
      </c>
      <c r="T39" s="270">
        <f t="shared" si="6"/>
        <v>6.8965780533480611E-2</v>
      </c>
      <c r="U39" s="16">
        <v>101</v>
      </c>
      <c r="V39" s="16">
        <f t="shared" ref="V39" si="12">(Q39/P39)*100</f>
        <v>153.75652571373118</v>
      </c>
      <c r="W39" s="16">
        <f t="shared" ref="W39" si="13">(R39/P39)*100</f>
        <v>171.07840177990477</v>
      </c>
    </row>
    <row r="40" spans="1:23">
      <c r="A40" s="165" t="s">
        <v>75</v>
      </c>
      <c r="B40" s="16" t="s">
        <v>1141</v>
      </c>
      <c r="C40" s="623">
        <v>307469.16313583468</v>
      </c>
      <c r="D40" s="623">
        <v>548548.09517853288</v>
      </c>
      <c r="E40" s="623">
        <v>300290.53114156279</v>
      </c>
      <c r="F40" s="623">
        <v>1054448.3337346117</v>
      </c>
      <c r="G40" s="623">
        <v>519074.74406202533</v>
      </c>
      <c r="H40" s="628">
        <v>1322607</v>
      </c>
      <c r="I40" s="655" t="s">
        <v>916</v>
      </c>
      <c r="J40" s="268">
        <f t="shared" si="1"/>
        <v>7.5814456535434102E-2</v>
      </c>
      <c r="K40" s="631">
        <v>17445314</v>
      </c>
      <c r="L40" s="630">
        <v>323666</v>
      </c>
      <c r="M40" s="656" t="s">
        <v>916</v>
      </c>
      <c r="N40" s="269">
        <f t="shared" si="3"/>
        <v>1.8553177088128078E-2</v>
      </c>
      <c r="O40" s="264">
        <v>17128592</v>
      </c>
      <c r="P40" s="16">
        <v>1744222</v>
      </c>
      <c r="Q40" s="16">
        <v>2504476.5798525945</v>
      </c>
      <c r="R40" s="632">
        <f t="shared" si="4"/>
        <v>2729830.8672525678</v>
      </c>
      <c r="S40" s="657" t="s">
        <v>916</v>
      </c>
      <c r="T40" s="270">
        <f t="shared" si="6"/>
        <v>0.15937275330351541</v>
      </c>
      <c r="U40" s="16">
        <v>100</v>
      </c>
      <c r="V40" s="16">
        <f t="shared" si="7"/>
        <v>143.58703077088779</v>
      </c>
      <c r="W40" s="16">
        <f t="shared" si="8"/>
        <v>156.50707692326824</v>
      </c>
    </row>
    <row r="42" spans="1:23" s="254" customFormat="1">
      <c r="A42" s="255" t="s">
        <v>897</v>
      </c>
      <c r="K42" s="266"/>
      <c r="O42" s="266"/>
    </row>
    <row r="44" spans="1:23">
      <c r="A44" s="244" t="s">
        <v>858</v>
      </c>
      <c r="B44" s="245"/>
      <c r="C44" s="245"/>
      <c r="D44" s="245"/>
      <c r="E44" s="245"/>
    </row>
    <row r="45" spans="1:23">
      <c r="A45" s="246" t="s">
        <v>859</v>
      </c>
      <c r="B45" s="245"/>
      <c r="C45" s="245"/>
      <c r="D45" s="245"/>
      <c r="E45" s="245"/>
    </row>
    <row r="46" spans="1:23" ht="15.75" thickBot="1">
      <c r="A46" s="246"/>
      <c r="B46" s="245"/>
      <c r="C46" s="245"/>
      <c r="D46" s="245"/>
      <c r="E46" s="245"/>
    </row>
    <row r="47" spans="1:23" ht="33.75" customHeight="1" thickBot="1">
      <c r="A47" s="1095" t="s">
        <v>544</v>
      </c>
      <c r="B47" s="1095" t="s">
        <v>860</v>
      </c>
      <c r="C47" s="1097" t="s">
        <v>861</v>
      </c>
      <c r="D47" s="1098"/>
      <c r="E47" s="245"/>
    </row>
    <row r="48" spans="1:23" ht="51.75" thickBot="1">
      <c r="A48" s="1096"/>
      <c r="B48" s="1096"/>
      <c r="C48" s="247" t="s">
        <v>862</v>
      </c>
      <c r="D48" s="247" t="s">
        <v>863</v>
      </c>
      <c r="E48" s="245"/>
    </row>
    <row r="49" spans="1:5">
      <c r="A49" s="248" t="s">
        <v>509</v>
      </c>
      <c r="B49" s="249" t="s">
        <v>864</v>
      </c>
      <c r="C49" s="250">
        <v>50</v>
      </c>
      <c r="D49" s="250">
        <v>85</v>
      </c>
      <c r="E49" s="245"/>
    </row>
    <row r="50" spans="1:5">
      <c r="A50" s="248" t="s">
        <v>74</v>
      </c>
      <c r="B50" s="249" t="s">
        <v>2</v>
      </c>
      <c r="C50" s="250">
        <v>40</v>
      </c>
      <c r="D50" s="250">
        <v>61</v>
      </c>
    </row>
    <row r="51" spans="1:5">
      <c r="A51" s="248" t="s">
        <v>287</v>
      </c>
      <c r="B51" s="249" t="s">
        <v>464</v>
      </c>
      <c r="C51" s="250">
        <v>28</v>
      </c>
      <c r="D51" s="250">
        <v>58</v>
      </c>
    </row>
    <row r="52" spans="1:5">
      <c r="A52" s="248" t="s">
        <v>506</v>
      </c>
      <c r="B52" s="249" t="s">
        <v>465</v>
      </c>
      <c r="C52" s="250">
        <v>37</v>
      </c>
      <c r="D52" s="250">
        <v>50</v>
      </c>
    </row>
    <row r="53" spans="1:5">
      <c r="A53" s="248" t="s">
        <v>510</v>
      </c>
      <c r="B53" s="249" t="s">
        <v>466</v>
      </c>
      <c r="C53" s="250">
        <v>30</v>
      </c>
      <c r="D53" s="250">
        <v>48</v>
      </c>
    </row>
    <row r="54" spans="1:5">
      <c r="A54" s="248" t="s">
        <v>763</v>
      </c>
      <c r="B54" s="249" t="s">
        <v>110</v>
      </c>
      <c r="C54" s="250">
        <v>46</v>
      </c>
      <c r="D54" s="250">
        <v>47</v>
      </c>
      <c r="E54" s="245"/>
    </row>
    <row r="55" spans="1:5">
      <c r="A55" s="248" t="s">
        <v>547</v>
      </c>
      <c r="B55" s="249" t="s">
        <v>462</v>
      </c>
      <c r="C55" s="250">
        <v>26</v>
      </c>
      <c r="D55" s="250">
        <v>45</v>
      </c>
    </row>
    <row r="56" spans="1:5">
      <c r="A56" s="248" t="s">
        <v>508</v>
      </c>
      <c r="B56" s="249" t="s">
        <v>469</v>
      </c>
      <c r="C56" s="250">
        <v>26</v>
      </c>
      <c r="D56" s="250">
        <v>43</v>
      </c>
    </row>
    <row r="57" spans="1:5">
      <c r="A57" s="248" t="s">
        <v>291</v>
      </c>
      <c r="B57" s="249" t="s">
        <v>460</v>
      </c>
      <c r="C57" s="250">
        <v>32</v>
      </c>
      <c r="D57" s="250">
        <v>43</v>
      </c>
      <c r="E57" s="245"/>
    </row>
    <row r="58" spans="1:5">
      <c r="A58" s="248" t="s">
        <v>890</v>
      </c>
      <c r="B58" s="249" t="s">
        <v>891</v>
      </c>
      <c r="C58" s="250">
        <v>27</v>
      </c>
      <c r="D58" s="250">
        <v>29</v>
      </c>
    </row>
    <row r="59" spans="1:5">
      <c r="E59" s="245"/>
    </row>
    <row r="60" spans="1:5">
      <c r="E60" s="245"/>
    </row>
    <row r="61" spans="1:5">
      <c r="E61" s="245"/>
    </row>
    <row r="63" spans="1:5">
      <c r="E63" s="245"/>
    </row>
    <row r="64" spans="1:5">
      <c r="E64" s="245"/>
    </row>
    <row r="65" spans="1:5">
      <c r="E65" s="245"/>
    </row>
    <row r="72" spans="1:5">
      <c r="E72" s="245"/>
    </row>
    <row r="75" spans="1:5">
      <c r="A75" s="1099" t="s">
        <v>896</v>
      </c>
      <c r="B75" s="1099"/>
      <c r="C75" s="1099"/>
      <c r="D75" s="1099"/>
      <c r="E75" s="1099"/>
    </row>
    <row r="77" spans="1:5">
      <c r="A77" s="248" t="s">
        <v>865</v>
      </c>
      <c r="B77" s="249" t="s">
        <v>866</v>
      </c>
      <c r="C77" s="250">
        <v>68</v>
      </c>
      <c r="D77" s="250">
        <v>84</v>
      </c>
      <c r="E77" s="245"/>
    </row>
    <row r="78" spans="1:5">
      <c r="A78" s="248" t="s">
        <v>867</v>
      </c>
      <c r="B78" s="249" t="s">
        <v>868</v>
      </c>
      <c r="C78" s="250">
        <v>60</v>
      </c>
      <c r="D78" s="250">
        <v>75</v>
      </c>
      <c r="E78" s="245"/>
    </row>
    <row r="79" spans="1:5">
      <c r="A79" s="248" t="s">
        <v>869</v>
      </c>
      <c r="B79" s="249" t="s">
        <v>870</v>
      </c>
      <c r="C79" s="250">
        <v>41</v>
      </c>
      <c r="D79" s="250">
        <v>73</v>
      </c>
      <c r="E79" s="245"/>
    </row>
    <row r="80" spans="1:5">
      <c r="A80" s="248" t="s">
        <v>871</v>
      </c>
      <c r="B80" s="249" t="s">
        <v>743</v>
      </c>
      <c r="C80" s="250">
        <v>62</v>
      </c>
      <c r="D80" s="250">
        <v>66</v>
      </c>
      <c r="E80" s="245"/>
    </row>
    <row r="81" spans="1:5">
      <c r="A81" s="248" t="s">
        <v>872</v>
      </c>
      <c r="B81" s="249" t="s">
        <v>873</v>
      </c>
      <c r="C81" s="250">
        <v>51</v>
      </c>
      <c r="D81" s="250">
        <v>59</v>
      </c>
      <c r="E81" s="245"/>
    </row>
    <row r="82" spans="1:5">
      <c r="A82" s="248" t="s">
        <v>874</v>
      </c>
      <c r="B82" s="249" t="s">
        <v>875</v>
      </c>
      <c r="C82" s="250">
        <v>31</v>
      </c>
      <c r="D82" s="250">
        <v>58</v>
      </c>
      <c r="E82" s="245"/>
    </row>
    <row r="83" spans="1:5">
      <c r="A83" s="248" t="s">
        <v>876</v>
      </c>
      <c r="B83" s="249" t="s">
        <v>877</v>
      </c>
      <c r="C83" s="250">
        <v>64</v>
      </c>
      <c r="D83" s="250">
        <v>52</v>
      </c>
      <c r="E83" s="245"/>
    </row>
    <row r="84" spans="1:5">
      <c r="A84" s="248" t="s">
        <v>892</v>
      </c>
      <c r="B84" s="249" t="s">
        <v>893</v>
      </c>
      <c r="C84" s="250">
        <v>22</v>
      </c>
      <c r="D84" s="250">
        <v>23</v>
      </c>
      <c r="E84" s="245"/>
    </row>
    <row r="85" spans="1:5" ht="15.75" thickBot="1">
      <c r="A85" s="251" t="s">
        <v>894</v>
      </c>
      <c r="B85" s="252" t="s">
        <v>895</v>
      </c>
      <c r="C85" s="253">
        <v>19</v>
      </c>
      <c r="D85" s="253">
        <v>23</v>
      </c>
      <c r="E85" s="245"/>
    </row>
    <row r="86" spans="1:5">
      <c r="A86" s="248" t="s">
        <v>507</v>
      </c>
      <c r="B86" s="249" t="s">
        <v>880</v>
      </c>
      <c r="C86" s="250">
        <v>33</v>
      </c>
      <c r="D86" s="250">
        <v>42</v>
      </c>
      <c r="E86" s="245"/>
    </row>
    <row r="87" spans="1:5">
      <c r="A87" s="248" t="s">
        <v>881</v>
      </c>
      <c r="B87" s="249" t="s">
        <v>882</v>
      </c>
      <c r="C87" s="250">
        <v>32</v>
      </c>
      <c r="D87" s="250">
        <v>40</v>
      </c>
      <c r="E87" s="245"/>
    </row>
    <row r="88" spans="1:5">
      <c r="A88" s="248" t="s">
        <v>883</v>
      </c>
      <c r="B88" s="249" t="s">
        <v>340</v>
      </c>
      <c r="C88" s="250">
        <v>37</v>
      </c>
      <c r="D88" s="250">
        <v>39</v>
      </c>
      <c r="E88" s="245"/>
    </row>
    <row r="89" spans="1:5">
      <c r="A89" s="248" t="s">
        <v>884</v>
      </c>
      <c r="B89" s="249" t="s">
        <v>885</v>
      </c>
      <c r="C89" s="250">
        <v>25</v>
      </c>
      <c r="D89" s="250">
        <v>37</v>
      </c>
      <c r="E89" s="245"/>
    </row>
    <row r="90" spans="1:5">
      <c r="A90" s="248" t="s">
        <v>886</v>
      </c>
      <c r="B90" s="249" t="s">
        <v>887</v>
      </c>
      <c r="C90" s="250">
        <v>28</v>
      </c>
      <c r="D90" s="250">
        <v>36</v>
      </c>
      <c r="E90" s="245"/>
    </row>
    <row r="91" spans="1:5">
      <c r="A91" s="248" t="s">
        <v>888</v>
      </c>
      <c r="B91" s="249" t="s">
        <v>889</v>
      </c>
      <c r="C91" s="250">
        <v>22</v>
      </c>
      <c r="D91" s="250">
        <v>29</v>
      </c>
      <c r="E91" s="245"/>
    </row>
    <row r="92" spans="1:5">
      <c r="A92" s="248" t="s">
        <v>878</v>
      </c>
      <c r="B92" s="249" t="s">
        <v>879</v>
      </c>
      <c r="C92" s="250">
        <v>29</v>
      </c>
      <c r="D92" s="250">
        <v>45</v>
      </c>
      <c r="E92" s="245"/>
    </row>
  </sheetData>
  <mergeCells count="4">
    <mergeCell ref="A47:A48"/>
    <mergeCell ref="B47:B48"/>
    <mergeCell ref="C47:D47"/>
    <mergeCell ref="A75:E7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AN204"/>
  <sheetViews>
    <sheetView zoomScaleNormal="100" workbookViewId="0">
      <pane xSplit="2" ySplit="5" topLeftCell="C44" activePane="bottomRight" state="frozen"/>
      <selection activeCell="J38" sqref="J38"/>
      <selection pane="topRight" activeCell="J38" sqref="J38"/>
      <selection pane="bottomLeft" activeCell="J38" sqref="J38"/>
      <selection pane="bottomRight" activeCell="D49" sqref="D49"/>
    </sheetView>
  </sheetViews>
  <sheetFormatPr baseColWidth="10" defaultRowHeight="15"/>
  <cols>
    <col min="2" max="2" width="39.85546875" bestFit="1" customWidth="1"/>
    <col min="7" max="7" width="14" customWidth="1"/>
    <col min="8" max="8" width="13.5703125" customWidth="1"/>
    <col min="11" max="11" width="12.5703125" customWidth="1"/>
    <col min="19" max="19" width="11.85546875" customWidth="1"/>
    <col min="20" max="20" width="14.140625" customWidth="1"/>
    <col min="25" max="25" width="9.28515625" customWidth="1"/>
    <col min="26" max="26" width="10.7109375" customWidth="1"/>
  </cols>
  <sheetData>
    <row r="2" spans="1:22" s="167" customFormat="1">
      <c r="A2" s="167" t="s">
        <v>1389</v>
      </c>
      <c r="C2" s="668" t="s">
        <v>1390</v>
      </c>
    </row>
    <row r="4" spans="1:22">
      <c r="A4" t="s">
        <v>520</v>
      </c>
      <c r="C4" s="153">
        <v>2018</v>
      </c>
      <c r="D4" s="153">
        <v>2018</v>
      </c>
      <c r="E4" s="153">
        <v>2018</v>
      </c>
      <c r="F4" s="153">
        <v>2018</v>
      </c>
      <c r="G4">
        <v>2016</v>
      </c>
      <c r="H4">
        <v>2015</v>
      </c>
      <c r="I4" t="s">
        <v>1428</v>
      </c>
      <c r="J4">
        <v>2016</v>
      </c>
      <c r="K4">
        <v>2016</v>
      </c>
      <c r="L4">
        <v>2016</v>
      </c>
      <c r="M4">
        <v>2015</v>
      </c>
      <c r="N4" t="s">
        <v>1429</v>
      </c>
      <c r="O4">
        <v>2015</v>
      </c>
      <c r="P4">
        <v>2014</v>
      </c>
      <c r="Q4" t="s">
        <v>1430</v>
      </c>
      <c r="R4">
        <v>2015</v>
      </c>
      <c r="S4">
        <v>2015</v>
      </c>
      <c r="T4">
        <v>2015</v>
      </c>
      <c r="U4">
        <v>2014</v>
      </c>
      <c r="V4" t="s">
        <v>1431</v>
      </c>
    </row>
    <row r="5" spans="1:22" ht="60">
      <c r="A5" t="s">
        <v>251</v>
      </c>
      <c r="B5" t="s">
        <v>252</v>
      </c>
      <c r="C5" s="972" t="s">
        <v>532</v>
      </c>
      <c r="D5" s="972" t="s">
        <v>533</v>
      </c>
      <c r="E5" s="972" t="s">
        <v>534</v>
      </c>
      <c r="F5" s="972" t="s">
        <v>535</v>
      </c>
      <c r="G5" s="55" t="s">
        <v>919</v>
      </c>
      <c r="H5" s="31" t="s">
        <v>920</v>
      </c>
      <c r="I5" s="55" t="s">
        <v>934</v>
      </c>
      <c r="J5" s="55" t="s">
        <v>935</v>
      </c>
      <c r="K5" s="55" t="s">
        <v>936</v>
      </c>
      <c r="L5" s="55" t="s">
        <v>937</v>
      </c>
      <c r="M5" s="55" t="s">
        <v>944</v>
      </c>
      <c r="N5" s="55" t="s">
        <v>945</v>
      </c>
      <c r="O5" s="55" t="s">
        <v>942</v>
      </c>
      <c r="P5" s="31" t="s">
        <v>938</v>
      </c>
      <c r="Q5" s="55" t="s">
        <v>939</v>
      </c>
      <c r="R5" s="55" t="s">
        <v>940</v>
      </c>
      <c r="S5" s="55" t="s">
        <v>941</v>
      </c>
      <c r="T5" s="55" t="s">
        <v>1139</v>
      </c>
      <c r="U5" s="55" t="s">
        <v>946</v>
      </c>
      <c r="V5" s="55" t="s">
        <v>947</v>
      </c>
    </row>
    <row r="6" spans="1:22">
      <c r="A6">
        <v>59</v>
      </c>
      <c r="B6" t="s">
        <v>89</v>
      </c>
      <c r="C6" s="153">
        <v>157</v>
      </c>
      <c r="D6" s="153">
        <v>5343</v>
      </c>
      <c r="E6" s="153">
        <v>59</v>
      </c>
      <c r="F6" s="153">
        <v>6574</v>
      </c>
    </row>
    <row r="7" spans="1:22">
      <c r="A7">
        <v>7204</v>
      </c>
      <c r="B7" t="s">
        <v>6</v>
      </c>
      <c r="C7" s="153">
        <v>170</v>
      </c>
      <c r="D7" s="153">
        <v>9335</v>
      </c>
      <c r="E7" s="153">
        <v>46</v>
      </c>
      <c r="F7" s="153">
        <v>11488</v>
      </c>
      <c r="G7" s="818"/>
      <c r="H7" s="818"/>
      <c r="I7" s="818"/>
      <c r="J7" s="818"/>
      <c r="K7" s="818"/>
      <c r="L7" s="818"/>
    </row>
    <row r="8" spans="1:22">
      <c r="A8">
        <v>3122</v>
      </c>
      <c r="B8" t="s">
        <v>1076</v>
      </c>
      <c r="C8" s="153">
        <v>13</v>
      </c>
      <c r="D8" s="153">
        <v>714</v>
      </c>
      <c r="E8" s="153">
        <v>0</v>
      </c>
      <c r="F8" s="153">
        <v>0</v>
      </c>
      <c r="G8" s="818"/>
      <c r="H8" s="818"/>
      <c r="I8" s="818"/>
      <c r="J8" s="818"/>
      <c r="K8" s="818"/>
      <c r="L8" s="818"/>
    </row>
    <row r="9" spans="1:22">
      <c r="A9">
        <v>8210</v>
      </c>
      <c r="B9" t="s">
        <v>8</v>
      </c>
      <c r="C9" s="153">
        <v>180</v>
      </c>
      <c r="D9" s="153">
        <v>6268</v>
      </c>
      <c r="E9" s="153">
        <v>64</v>
      </c>
      <c r="F9" s="153">
        <v>5489</v>
      </c>
      <c r="G9" s="818"/>
      <c r="H9" s="818"/>
      <c r="I9" s="818"/>
      <c r="J9" s="818"/>
      <c r="K9" s="818"/>
      <c r="L9" s="818"/>
    </row>
    <row r="10" spans="1:22">
      <c r="A10">
        <v>3111</v>
      </c>
      <c r="B10" t="s">
        <v>10</v>
      </c>
      <c r="C10" s="153">
        <v>76</v>
      </c>
      <c r="D10" s="153">
        <v>5174</v>
      </c>
      <c r="E10" s="153">
        <v>5</v>
      </c>
      <c r="F10" s="153">
        <v>430</v>
      </c>
      <c r="G10" s="818"/>
      <c r="H10" s="818"/>
      <c r="I10" s="818"/>
      <c r="J10" s="818"/>
      <c r="K10" s="818"/>
      <c r="L10" s="818"/>
    </row>
    <row r="11" spans="1:22">
      <c r="A11">
        <v>8214</v>
      </c>
      <c r="B11" t="s">
        <v>12</v>
      </c>
      <c r="C11" s="153">
        <v>235</v>
      </c>
      <c r="D11" s="153">
        <v>15339</v>
      </c>
      <c r="E11" s="153">
        <v>16</v>
      </c>
      <c r="F11" s="153">
        <v>1645</v>
      </c>
      <c r="G11" s="818"/>
      <c r="H11" s="818"/>
      <c r="I11" s="818"/>
      <c r="J11" s="818"/>
      <c r="K11" s="818"/>
      <c r="L11" s="818"/>
    </row>
    <row r="12" spans="1:22">
      <c r="A12">
        <v>9310</v>
      </c>
      <c r="B12" t="s">
        <v>54</v>
      </c>
      <c r="C12" s="153">
        <v>157</v>
      </c>
      <c r="D12" s="153">
        <v>9474</v>
      </c>
      <c r="E12" s="153">
        <v>22</v>
      </c>
      <c r="F12" s="153">
        <v>4302</v>
      </c>
      <c r="G12" s="818"/>
      <c r="H12" s="818"/>
      <c r="I12" s="818"/>
      <c r="J12" s="818"/>
      <c r="K12" s="818"/>
      <c r="L12" s="818"/>
    </row>
    <row r="13" spans="1:22">
      <c r="A13">
        <v>9111</v>
      </c>
      <c r="B13" t="s">
        <v>15</v>
      </c>
      <c r="C13" s="153">
        <v>135</v>
      </c>
      <c r="D13" s="153">
        <v>6440</v>
      </c>
      <c r="E13" s="153">
        <v>52</v>
      </c>
      <c r="F13" s="153">
        <v>14469</v>
      </c>
      <c r="G13" s="818"/>
      <c r="H13" s="818"/>
      <c r="I13" s="818"/>
      <c r="J13" s="818"/>
      <c r="K13" s="818"/>
      <c r="L13" s="818"/>
    </row>
    <row r="14" spans="1:22">
      <c r="A14">
        <v>5203</v>
      </c>
      <c r="B14" t="s">
        <v>17</v>
      </c>
      <c r="C14" s="153">
        <v>119</v>
      </c>
      <c r="D14" s="153">
        <v>5801</v>
      </c>
      <c r="E14" s="153">
        <v>36</v>
      </c>
      <c r="F14" s="153">
        <v>3652</v>
      </c>
      <c r="G14" s="818"/>
      <c r="H14" s="818"/>
      <c r="I14" s="818"/>
      <c r="J14" s="818"/>
      <c r="K14" s="818"/>
      <c r="L14" s="818"/>
    </row>
    <row r="15" spans="1:22">
      <c r="A15">
        <v>9307</v>
      </c>
      <c r="B15" t="s">
        <v>19</v>
      </c>
      <c r="C15" s="153">
        <v>261</v>
      </c>
      <c r="D15" s="153">
        <v>12695</v>
      </c>
      <c r="E15" s="153">
        <v>40</v>
      </c>
      <c r="F15" s="153">
        <v>3617</v>
      </c>
      <c r="G15" s="818"/>
      <c r="H15" s="818"/>
      <c r="I15" s="818"/>
      <c r="J15" s="818"/>
      <c r="K15" s="818"/>
      <c r="L15" s="818"/>
    </row>
    <row r="16" spans="1:22">
      <c r="A16">
        <v>5312</v>
      </c>
      <c r="B16" t="s">
        <v>21</v>
      </c>
      <c r="C16" s="153">
        <v>97</v>
      </c>
      <c r="D16" s="153">
        <v>4232</v>
      </c>
      <c r="E16" s="153">
        <v>24</v>
      </c>
      <c r="F16" s="153">
        <v>2104</v>
      </c>
      <c r="G16" s="818"/>
      <c r="H16" s="818"/>
      <c r="I16" s="818"/>
      <c r="J16" s="818"/>
      <c r="K16" s="818"/>
      <c r="L16" s="818"/>
    </row>
    <row r="17" spans="1:12">
      <c r="A17">
        <v>2307</v>
      </c>
      <c r="B17" t="s">
        <v>23</v>
      </c>
      <c r="C17" s="153">
        <v>91</v>
      </c>
      <c r="D17" s="153">
        <v>4058</v>
      </c>
      <c r="E17" s="153">
        <v>19</v>
      </c>
      <c r="F17" s="153">
        <v>1799</v>
      </c>
      <c r="H17" s="818"/>
      <c r="I17" s="818"/>
      <c r="J17" s="818"/>
      <c r="K17" s="818"/>
      <c r="L17" s="818"/>
    </row>
    <row r="18" spans="1:12">
      <c r="A18">
        <v>4205</v>
      </c>
      <c r="B18" t="s">
        <v>25</v>
      </c>
      <c r="C18" s="153">
        <v>109</v>
      </c>
      <c r="D18" s="153">
        <v>6786</v>
      </c>
      <c r="E18" s="153">
        <v>6</v>
      </c>
      <c r="F18" s="153">
        <v>1070</v>
      </c>
      <c r="H18" s="818"/>
      <c r="I18" s="818"/>
      <c r="J18" s="818"/>
      <c r="K18" s="818"/>
      <c r="L18" s="818"/>
    </row>
    <row r="19" spans="1:12">
      <c r="A19">
        <v>9315</v>
      </c>
      <c r="B19" t="s">
        <v>55</v>
      </c>
      <c r="C19" s="153">
        <v>139</v>
      </c>
      <c r="D19" s="153">
        <v>4690</v>
      </c>
      <c r="E19" s="153">
        <v>77</v>
      </c>
      <c r="F19" s="153">
        <v>11853</v>
      </c>
      <c r="H19" s="818"/>
      <c r="I19" s="818"/>
      <c r="J19" s="818"/>
      <c r="K19" s="818"/>
      <c r="L19" s="818"/>
    </row>
    <row r="20" spans="1:12">
      <c r="A20">
        <v>61</v>
      </c>
      <c r="B20" t="s">
        <v>27</v>
      </c>
      <c r="C20" s="153">
        <v>168</v>
      </c>
      <c r="D20" s="153">
        <v>8886</v>
      </c>
      <c r="E20" s="153">
        <v>43</v>
      </c>
      <c r="F20" s="153">
        <v>2836</v>
      </c>
      <c r="H20" s="818"/>
      <c r="I20" s="818"/>
      <c r="J20" s="818"/>
      <c r="K20" s="818"/>
      <c r="L20" s="818"/>
    </row>
    <row r="21" spans="1:12">
      <c r="A21">
        <v>2</v>
      </c>
      <c r="B21" t="s">
        <v>29</v>
      </c>
      <c r="C21" s="153">
        <v>300</v>
      </c>
      <c r="D21" s="153">
        <v>17617</v>
      </c>
      <c r="E21" s="153">
        <v>32</v>
      </c>
      <c r="F21" s="153">
        <v>3845</v>
      </c>
      <c r="H21" s="818"/>
      <c r="I21" s="818"/>
      <c r="J21" s="818"/>
      <c r="K21" s="818"/>
      <c r="L21" s="818"/>
    </row>
    <row r="22" spans="1:12">
      <c r="A22">
        <v>3</v>
      </c>
      <c r="B22" t="s">
        <v>59</v>
      </c>
      <c r="C22" s="153">
        <v>221</v>
      </c>
      <c r="D22" s="153">
        <v>12650</v>
      </c>
      <c r="E22" s="153">
        <v>31</v>
      </c>
      <c r="F22" s="153">
        <v>4663</v>
      </c>
      <c r="H22" s="818"/>
      <c r="I22" s="818"/>
      <c r="J22" s="818"/>
      <c r="K22" s="818"/>
      <c r="L22" s="818"/>
    </row>
    <row r="23" spans="1:12">
      <c r="A23">
        <v>4</v>
      </c>
      <c r="B23" t="s">
        <v>32</v>
      </c>
      <c r="C23" s="153">
        <v>147</v>
      </c>
      <c r="D23" s="153">
        <v>8412</v>
      </c>
      <c r="E23" s="153">
        <v>26</v>
      </c>
      <c r="F23" s="153">
        <v>1704</v>
      </c>
      <c r="H23" s="818"/>
      <c r="I23" s="818"/>
      <c r="J23" s="818"/>
      <c r="K23" s="818"/>
      <c r="L23" s="818"/>
    </row>
    <row r="24" spans="1:12">
      <c r="A24">
        <v>5</v>
      </c>
      <c r="B24" t="s">
        <v>34</v>
      </c>
      <c r="C24" s="153">
        <v>92</v>
      </c>
      <c r="D24" s="153">
        <v>6181</v>
      </c>
      <c r="E24" s="153">
        <v>4</v>
      </c>
      <c r="F24" s="153">
        <v>386</v>
      </c>
      <c r="H24" s="818"/>
      <c r="I24" s="818"/>
      <c r="J24" s="818"/>
      <c r="K24" s="818"/>
      <c r="L24" s="818"/>
    </row>
    <row r="25" spans="1:12">
      <c r="A25">
        <v>6</v>
      </c>
      <c r="B25" t="s">
        <v>61</v>
      </c>
      <c r="C25" s="153">
        <v>162</v>
      </c>
      <c r="D25" s="153">
        <v>9164</v>
      </c>
      <c r="E25" s="153">
        <v>56</v>
      </c>
      <c r="F25" s="153">
        <v>13846</v>
      </c>
      <c r="H25" s="818"/>
      <c r="I25" s="818"/>
      <c r="J25" s="818"/>
      <c r="K25" s="818"/>
      <c r="L25" s="818"/>
    </row>
    <row r="26" spans="1:12">
      <c r="A26">
        <v>7</v>
      </c>
      <c r="B26" t="s">
        <v>37</v>
      </c>
      <c r="C26" s="153">
        <v>445</v>
      </c>
      <c r="D26" s="153">
        <v>22452</v>
      </c>
      <c r="E26" s="153">
        <v>53</v>
      </c>
      <c r="F26" s="153">
        <v>5386</v>
      </c>
      <c r="H26" s="818"/>
      <c r="I26" s="818"/>
      <c r="J26" s="818"/>
      <c r="K26" s="818"/>
      <c r="L26" s="818"/>
    </row>
    <row r="27" spans="1:12">
      <c r="A27">
        <v>8</v>
      </c>
      <c r="B27" t="s">
        <v>39</v>
      </c>
      <c r="C27" s="153">
        <v>104</v>
      </c>
      <c r="D27" s="153">
        <v>5471</v>
      </c>
      <c r="E27" s="153">
        <v>18</v>
      </c>
      <c r="F27" s="153">
        <v>1297</v>
      </c>
      <c r="H27" s="818"/>
      <c r="I27" s="818"/>
      <c r="J27" s="818"/>
      <c r="K27" s="818"/>
      <c r="L27" s="818"/>
    </row>
    <row r="28" spans="1:12">
      <c r="A28">
        <v>9</v>
      </c>
      <c r="B28" t="s">
        <v>41</v>
      </c>
      <c r="C28" s="153">
        <v>170</v>
      </c>
      <c r="D28" s="153">
        <v>8721</v>
      </c>
      <c r="E28" s="153">
        <v>20</v>
      </c>
      <c r="F28" s="153">
        <v>2209</v>
      </c>
      <c r="H28" s="818"/>
      <c r="I28" s="818"/>
      <c r="J28" s="818"/>
      <c r="K28" s="818"/>
      <c r="L28" s="818"/>
    </row>
    <row r="29" spans="1:12">
      <c r="A29">
        <v>10</v>
      </c>
      <c r="B29" t="s">
        <v>43</v>
      </c>
      <c r="C29" s="153">
        <v>85</v>
      </c>
      <c r="D29" s="153">
        <v>4018</v>
      </c>
      <c r="E29" s="153">
        <v>23</v>
      </c>
      <c r="F29" s="153">
        <v>1689</v>
      </c>
    </row>
    <row r="30" spans="1:12">
      <c r="A30">
        <v>11</v>
      </c>
      <c r="B30" t="s">
        <v>45</v>
      </c>
      <c r="C30" s="153">
        <v>86</v>
      </c>
      <c r="D30" s="153">
        <v>3989</v>
      </c>
      <c r="E30" s="153">
        <v>13</v>
      </c>
      <c r="F30" s="153">
        <v>970</v>
      </c>
    </row>
    <row r="31" spans="1:12">
      <c r="A31">
        <v>12</v>
      </c>
      <c r="B31" t="s">
        <v>47</v>
      </c>
      <c r="C31" s="153">
        <v>66</v>
      </c>
      <c r="D31" s="153">
        <v>3161</v>
      </c>
      <c r="E31" s="153">
        <v>10</v>
      </c>
      <c r="F31" s="153">
        <v>955</v>
      </c>
    </row>
    <row r="32" spans="1:12">
      <c r="A32">
        <v>13</v>
      </c>
      <c r="B32" t="s">
        <v>63</v>
      </c>
      <c r="C32" s="153">
        <v>103</v>
      </c>
      <c r="D32" s="153">
        <v>4190</v>
      </c>
      <c r="E32" s="153">
        <v>69</v>
      </c>
      <c r="F32" s="153">
        <v>10603</v>
      </c>
    </row>
    <row r="33" spans="1:6">
      <c r="A33">
        <v>14</v>
      </c>
      <c r="B33" t="s">
        <v>64</v>
      </c>
      <c r="C33" s="153">
        <v>21</v>
      </c>
      <c r="D33" s="153">
        <v>1099</v>
      </c>
      <c r="E33" s="153">
        <v>8</v>
      </c>
      <c r="F33" s="153">
        <v>1003</v>
      </c>
    </row>
    <row r="34" spans="1:6">
      <c r="A34">
        <v>15</v>
      </c>
      <c r="B34" t="s">
        <v>49</v>
      </c>
      <c r="C34" s="153">
        <v>98</v>
      </c>
      <c r="D34" s="153">
        <v>5159</v>
      </c>
      <c r="E34" s="153">
        <v>29</v>
      </c>
      <c r="F34" s="153">
        <v>6048</v>
      </c>
    </row>
    <row r="35" spans="1:6">
      <c r="A35">
        <v>16</v>
      </c>
      <c r="B35" t="s">
        <v>65</v>
      </c>
      <c r="C35" s="153">
        <v>154</v>
      </c>
      <c r="D35" s="153">
        <v>5657</v>
      </c>
      <c r="E35" s="153">
        <v>48</v>
      </c>
      <c r="F35" s="153">
        <v>5513</v>
      </c>
    </row>
    <row r="36" spans="1:6">
      <c r="A36">
        <v>6</v>
      </c>
      <c r="B36" t="s">
        <v>234</v>
      </c>
      <c r="C36" s="153">
        <v>522</v>
      </c>
      <c r="D36" s="153">
        <v>24794</v>
      </c>
      <c r="E36" s="153">
        <v>63</v>
      </c>
      <c r="F36" s="153">
        <v>5852</v>
      </c>
    </row>
    <row r="37" spans="1:6">
      <c r="A37">
        <v>13</v>
      </c>
      <c r="B37" t="s">
        <v>235</v>
      </c>
      <c r="C37" s="153">
        <v>361</v>
      </c>
      <c r="D37" s="153">
        <v>16443</v>
      </c>
      <c r="E37" s="153">
        <v>62</v>
      </c>
      <c r="F37" s="153">
        <v>9316</v>
      </c>
    </row>
    <row r="38" spans="1:6">
      <c r="A38">
        <v>31</v>
      </c>
      <c r="B38" t="s">
        <v>236</v>
      </c>
      <c r="C38" s="153">
        <v>178</v>
      </c>
      <c r="D38" s="153">
        <v>9076</v>
      </c>
      <c r="E38" s="153">
        <v>37</v>
      </c>
      <c r="F38" s="153">
        <v>2889</v>
      </c>
    </row>
    <row r="39" spans="1:6">
      <c r="A39">
        <v>33</v>
      </c>
      <c r="B39" t="s">
        <v>114</v>
      </c>
      <c r="C39" s="153">
        <v>232</v>
      </c>
      <c r="D39" s="153">
        <v>11323</v>
      </c>
      <c r="E39" s="153">
        <v>131</v>
      </c>
      <c r="F39" s="153">
        <v>33679</v>
      </c>
    </row>
    <row r="40" spans="1:6">
      <c r="A40">
        <v>34</v>
      </c>
      <c r="B40" t="s">
        <v>237</v>
      </c>
      <c r="C40" s="153">
        <v>230</v>
      </c>
      <c r="D40" s="153">
        <v>9388</v>
      </c>
      <c r="E40" s="153">
        <v>215</v>
      </c>
      <c r="F40" s="153">
        <v>46814</v>
      </c>
    </row>
    <row r="41" spans="1:6">
      <c r="A41">
        <v>35</v>
      </c>
      <c r="B41" t="s">
        <v>238</v>
      </c>
      <c r="C41" s="153">
        <v>215</v>
      </c>
      <c r="D41" s="153">
        <v>8178</v>
      </c>
      <c r="E41" s="153">
        <v>58</v>
      </c>
      <c r="F41" s="153">
        <v>7206</v>
      </c>
    </row>
    <row r="42" spans="1:6">
      <c r="A42">
        <v>38</v>
      </c>
      <c r="B42" t="s">
        <v>239</v>
      </c>
      <c r="C42" s="153">
        <v>223</v>
      </c>
      <c r="D42" s="153">
        <v>7902</v>
      </c>
      <c r="E42" s="153">
        <v>76</v>
      </c>
      <c r="F42" s="153">
        <v>7070</v>
      </c>
    </row>
    <row r="43" spans="1:6">
      <c r="A43">
        <v>44</v>
      </c>
      <c r="B43" t="s">
        <v>240</v>
      </c>
      <c r="C43" s="153">
        <v>207</v>
      </c>
      <c r="D43" s="153">
        <v>9191</v>
      </c>
      <c r="E43" s="153">
        <v>131</v>
      </c>
      <c r="F43" s="153">
        <v>19304</v>
      </c>
    </row>
    <row r="44" spans="1:6">
      <c r="A44">
        <v>59</v>
      </c>
      <c r="B44" t="s">
        <v>241</v>
      </c>
      <c r="C44" s="153">
        <v>164</v>
      </c>
      <c r="D44" s="153">
        <v>9467</v>
      </c>
      <c r="E44" s="153">
        <v>92</v>
      </c>
      <c r="F44" s="153">
        <v>9750</v>
      </c>
    </row>
    <row r="45" spans="1:6">
      <c r="A45">
        <v>62</v>
      </c>
      <c r="B45" t="s">
        <v>247</v>
      </c>
      <c r="C45" s="153">
        <v>159</v>
      </c>
      <c r="D45" s="153">
        <v>6455</v>
      </c>
      <c r="E45" s="153">
        <v>159</v>
      </c>
      <c r="F45" s="153">
        <v>21353</v>
      </c>
    </row>
    <row r="46" spans="1:6">
      <c r="A46">
        <v>67</v>
      </c>
      <c r="B46" t="s">
        <v>242</v>
      </c>
      <c r="C46" s="153">
        <v>241</v>
      </c>
      <c r="D46" s="153">
        <v>10474</v>
      </c>
      <c r="E46" s="153">
        <v>35</v>
      </c>
      <c r="F46" s="153">
        <v>4199</v>
      </c>
    </row>
    <row r="47" spans="1:6">
      <c r="A47">
        <v>69</v>
      </c>
      <c r="B47" t="s">
        <v>243</v>
      </c>
      <c r="C47" s="153">
        <v>254</v>
      </c>
      <c r="D47" s="153">
        <v>15816</v>
      </c>
      <c r="E47" s="153">
        <v>18</v>
      </c>
      <c r="F47" s="153">
        <v>1820</v>
      </c>
    </row>
    <row r="48" spans="1:6">
      <c r="A48">
        <v>76</v>
      </c>
      <c r="B48" t="s">
        <v>244</v>
      </c>
      <c r="C48" s="153">
        <v>172</v>
      </c>
      <c r="D48" s="153">
        <v>7091</v>
      </c>
      <c r="E48" s="153">
        <v>60</v>
      </c>
      <c r="F48" s="153">
        <v>5971</v>
      </c>
    </row>
    <row r="49" spans="1:28">
      <c r="A49">
        <v>83</v>
      </c>
      <c r="B49" t="s">
        <v>245</v>
      </c>
      <c r="C49" s="153">
        <v>342</v>
      </c>
      <c r="D49" s="153">
        <v>11147</v>
      </c>
      <c r="E49" s="153">
        <v>216</v>
      </c>
      <c r="F49" s="153">
        <v>42099</v>
      </c>
      <c r="U49" s="156"/>
    </row>
    <row r="50" spans="1:28">
      <c r="A50">
        <v>84</v>
      </c>
      <c r="B50" t="s">
        <v>246</v>
      </c>
      <c r="C50" s="153">
        <v>188</v>
      </c>
      <c r="D50" s="153">
        <v>6447</v>
      </c>
      <c r="E50" s="153">
        <v>73</v>
      </c>
      <c r="F50" s="153">
        <v>7913</v>
      </c>
    </row>
    <row r="51" spans="1:28">
      <c r="A51">
        <v>72</v>
      </c>
      <c r="B51" t="s">
        <v>74</v>
      </c>
      <c r="C51" s="153">
        <v>844</v>
      </c>
      <c r="D51" s="153">
        <v>28608</v>
      </c>
      <c r="E51" s="153">
        <v>615</v>
      </c>
      <c r="F51" s="153">
        <v>106165</v>
      </c>
      <c r="G51" s="278"/>
    </row>
    <row r="52" spans="1:28">
      <c r="A52">
        <v>75</v>
      </c>
      <c r="B52" t="s">
        <v>1406</v>
      </c>
      <c r="C52" s="153">
        <v>1399</v>
      </c>
      <c r="D52" s="153">
        <v>47278</v>
      </c>
      <c r="E52" s="153">
        <v>1058</v>
      </c>
      <c r="F52" s="153">
        <v>32254</v>
      </c>
      <c r="G52" s="278"/>
    </row>
    <row r="53" spans="1:28">
      <c r="A53">
        <v>243300316</v>
      </c>
      <c r="B53" t="s">
        <v>411</v>
      </c>
      <c r="C53" s="153">
        <v>126</v>
      </c>
      <c r="D53" s="153">
        <v>8028</v>
      </c>
      <c r="E53" s="153">
        <v>2</v>
      </c>
      <c r="F53" s="153">
        <v>381</v>
      </c>
    </row>
    <row r="54" spans="1:28" s="228" customFormat="1">
      <c r="B54" s="228" t="s">
        <v>1141</v>
      </c>
      <c r="C54" s="153">
        <v>13556</v>
      </c>
      <c r="D54" s="153">
        <v>558441</v>
      </c>
      <c r="E54" s="153">
        <v>6293</v>
      </c>
      <c r="F54" s="153">
        <v>184212</v>
      </c>
      <c r="U54"/>
      <c r="V54"/>
      <c r="W54"/>
      <c r="X54"/>
      <c r="Y54"/>
      <c r="Z54"/>
      <c r="AA54"/>
      <c r="AB54"/>
    </row>
    <row r="55" spans="1:28">
      <c r="A55" s="58">
        <v>2016</v>
      </c>
      <c r="B55" s="156" t="s">
        <v>560</v>
      </c>
      <c r="C55" s="241">
        <v>158</v>
      </c>
      <c r="D55" s="241">
        <v>3728</v>
      </c>
      <c r="E55" s="241">
        <v>190</v>
      </c>
      <c r="F55" s="241">
        <v>88196</v>
      </c>
      <c r="G55" s="706">
        <v>1017650</v>
      </c>
      <c r="H55" s="707">
        <v>1031985</v>
      </c>
      <c r="I55" s="708">
        <v>-1.3890705775762244E-2</v>
      </c>
      <c r="J55" s="846">
        <v>0.45230000495910644</v>
      </c>
      <c r="K55" s="703">
        <v>268121</v>
      </c>
      <c r="L55" s="709">
        <f>K55/G55</f>
        <v>0.26347074141404214</v>
      </c>
      <c r="M55" s="704">
        <v>275356</v>
      </c>
      <c r="N55" s="709">
        <v>-2.6275076628074202E-2</v>
      </c>
      <c r="O55" s="241">
        <v>3073677</v>
      </c>
      <c r="P55" s="241">
        <v>3061049</v>
      </c>
      <c r="Q55" s="708">
        <f>(O55-P55)/P55</f>
        <v>4.1253831611320173E-3</v>
      </c>
      <c r="R55" s="241">
        <v>0.36040000915527343</v>
      </c>
      <c r="S55" s="703">
        <v>1193787</v>
      </c>
      <c r="T55" s="708">
        <f>S55/O55</f>
        <v>0.38839051728597379</v>
      </c>
      <c r="U55" s="241">
        <v>1299995</v>
      </c>
      <c r="V55" s="708">
        <f>(S55-U55)/U55</f>
        <v>-8.1698775764522169E-2</v>
      </c>
    </row>
    <row r="56" spans="1:28">
      <c r="A56" s="58">
        <v>2016</v>
      </c>
      <c r="B56" t="s">
        <v>561</v>
      </c>
      <c r="C56" s="241">
        <v>79</v>
      </c>
      <c r="D56" s="241">
        <v>1758</v>
      </c>
      <c r="E56" s="241">
        <v>113</v>
      </c>
      <c r="F56" s="241">
        <v>58861</v>
      </c>
      <c r="G56" s="706">
        <v>474822</v>
      </c>
      <c r="H56" s="707">
        <v>487737</v>
      </c>
      <c r="I56" s="708">
        <v>-2.6479434613326445E-2</v>
      </c>
      <c r="J56" s="846">
        <v>0.41952500343322752</v>
      </c>
      <c r="K56" s="703">
        <v>144165</v>
      </c>
      <c r="L56" s="709">
        <f>K56/G56</f>
        <v>0.30361904039829662</v>
      </c>
      <c r="M56" s="704">
        <v>146678</v>
      </c>
      <c r="N56" s="709">
        <v>-1.7132767013458051E-2</v>
      </c>
      <c r="O56" s="241">
        <v>2114501</v>
      </c>
      <c r="P56" s="241">
        <v>2143377</v>
      </c>
      <c r="Q56" s="708">
        <f t="shared" ref="Q56:Q76" si="0">(O56-P56)/P56</f>
        <v>-1.3472198311356331E-2</v>
      </c>
      <c r="R56" s="241">
        <v>0.36959999084472656</v>
      </c>
      <c r="S56" s="703">
        <v>816987</v>
      </c>
      <c r="T56" s="708">
        <f t="shared" ref="T56:T76" si="1">S56/O56</f>
        <v>0.38637342805702152</v>
      </c>
      <c r="U56" s="241">
        <v>926304</v>
      </c>
      <c r="V56" s="708">
        <f t="shared" ref="V56:V76" si="2">(S56-U56)/U56</f>
        <v>-0.11801417245310394</v>
      </c>
    </row>
    <row r="57" spans="1:28">
      <c r="A57" s="58">
        <v>2016</v>
      </c>
      <c r="B57" t="s">
        <v>562</v>
      </c>
      <c r="C57" s="241">
        <v>79</v>
      </c>
      <c r="D57" s="241">
        <v>1970</v>
      </c>
      <c r="E57" s="241">
        <v>76</v>
      </c>
      <c r="F57" s="241">
        <v>29335</v>
      </c>
      <c r="G57" s="706">
        <v>542826</v>
      </c>
      <c r="H57" s="707">
        <v>544248</v>
      </c>
      <c r="I57" s="708">
        <v>-2.612779468183622E-3</v>
      </c>
      <c r="J57" s="846">
        <v>0.46835833867390952</v>
      </c>
      <c r="K57" s="703">
        <v>123956</v>
      </c>
      <c r="L57" s="709">
        <f>K57/G57</f>
        <v>0.22835310025680419</v>
      </c>
      <c r="M57" s="704">
        <v>128678</v>
      </c>
      <c r="N57" s="709">
        <v>-3.6696249553148166E-2</v>
      </c>
      <c r="O57" s="241">
        <v>959176</v>
      </c>
      <c r="P57" s="241">
        <v>917672</v>
      </c>
      <c r="Q57" s="708">
        <f t="shared" si="0"/>
        <v>4.5227488688768969E-2</v>
      </c>
      <c r="R57" s="241">
        <v>0.34330001831054685</v>
      </c>
      <c r="S57" s="703">
        <v>376800</v>
      </c>
      <c r="T57" s="708">
        <f t="shared" si="1"/>
        <v>0.39283718525067352</v>
      </c>
      <c r="U57" s="241">
        <v>373691</v>
      </c>
      <c r="V57" s="708">
        <f t="shared" si="2"/>
        <v>8.3197079940378546E-3</v>
      </c>
    </row>
    <row r="58" spans="1:28">
      <c r="A58" s="58">
        <v>2016</v>
      </c>
      <c r="B58" s="156" t="s">
        <v>114</v>
      </c>
      <c r="C58" s="241">
        <v>233</v>
      </c>
      <c r="D58" s="241">
        <v>11432</v>
      </c>
      <c r="E58" s="241">
        <v>122</v>
      </c>
      <c r="F58" s="241">
        <v>119801</v>
      </c>
      <c r="G58" s="706">
        <v>4288600</v>
      </c>
      <c r="H58" s="707">
        <v>4089902</v>
      </c>
      <c r="I58" s="708">
        <v>4.8582582174340611E-2</v>
      </c>
      <c r="J58" s="846">
        <v>0.62894166628519688</v>
      </c>
      <c r="K58" s="703">
        <v>929258</v>
      </c>
      <c r="L58" s="709">
        <f>K58/G58</f>
        <v>0.21668096814811361</v>
      </c>
      <c r="M58" s="704">
        <v>861936</v>
      </c>
      <c r="N58" s="709">
        <v>7.8105567002654488E-2</v>
      </c>
      <c r="O58" s="241">
        <v>4518867</v>
      </c>
      <c r="P58" s="241">
        <v>4013794</v>
      </c>
      <c r="Q58" s="708">
        <f t="shared" si="0"/>
        <v>0.12583431038065232</v>
      </c>
      <c r="R58" s="241">
        <v>0.39009998321533201</v>
      </c>
      <c r="S58" s="703">
        <v>1441446</v>
      </c>
      <c r="T58" s="708">
        <f t="shared" si="1"/>
        <v>0.31898394000088959</v>
      </c>
      <c r="U58" s="241">
        <v>1455991</v>
      </c>
      <c r="V58" s="708">
        <f t="shared" si="2"/>
        <v>-9.9897595520851441E-3</v>
      </c>
    </row>
    <row r="59" spans="1:28">
      <c r="A59" s="58">
        <v>2016</v>
      </c>
      <c r="B59" t="s">
        <v>563</v>
      </c>
      <c r="C59" s="241">
        <v>12</v>
      </c>
      <c r="D59" s="241">
        <v>304</v>
      </c>
      <c r="E59" s="241">
        <v>61</v>
      </c>
      <c r="F59" s="241">
        <v>75803</v>
      </c>
      <c r="G59" s="706">
        <v>117318</v>
      </c>
      <c r="H59" s="707">
        <v>104388</v>
      </c>
      <c r="I59" s="708">
        <v>0.12386481204736177</v>
      </c>
      <c r="J59" s="846">
        <v>0.43371666272481285</v>
      </c>
      <c r="K59" s="703">
        <v>15728</v>
      </c>
      <c r="L59" s="709">
        <f>K59/G59</f>
        <v>0.13406297413866586</v>
      </c>
      <c r="M59" s="704">
        <v>15544</v>
      </c>
      <c r="N59" s="709">
        <f>(K59-M59)/M59</f>
        <v>1.1837364899639732E-2</v>
      </c>
      <c r="O59" s="710">
        <v>2707742</v>
      </c>
      <c r="P59" s="241">
        <v>2427212</v>
      </c>
      <c r="Q59" s="708">
        <f t="shared" si="0"/>
        <v>0.11557704889395734</v>
      </c>
      <c r="R59" s="710">
        <v>0.36909999847412112</v>
      </c>
      <c r="S59" s="703">
        <v>1033231</v>
      </c>
      <c r="T59" s="708">
        <f t="shared" si="1"/>
        <v>0.38158399138470356</v>
      </c>
      <c r="U59" s="711">
        <v>1036394</v>
      </c>
      <c r="V59" s="708">
        <f t="shared" si="2"/>
        <v>-3.0519281277197668E-3</v>
      </c>
    </row>
    <row r="60" spans="1:28">
      <c r="A60" s="58">
        <v>2016</v>
      </c>
      <c r="B60" t="s">
        <v>564</v>
      </c>
      <c r="C60" s="241">
        <v>44</v>
      </c>
      <c r="D60" s="241">
        <v>1500</v>
      </c>
      <c r="E60" s="241">
        <v>37</v>
      </c>
      <c r="F60" s="241">
        <v>34436</v>
      </c>
      <c r="G60" s="706">
        <v>532966</v>
      </c>
      <c r="H60" s="707">
        <v>498927</v>
      </c>
      <c r="I60" s="708">
        <v>6.8224409582965037E-2</v>
      </c>
      <c r="J60" s="847">
        <v>0.544308336575826</v>
      </c>
      <c r="K60" s="703">
        <v>83566</v>
      </c>
      <c r="L60" s="709">
        <v>0.15679424203420106</v>
      </c>
      <c r="M60" s="704">
        <v>76084</v>
      </c>
      <c r="N60" s="709">
        <v>9.8338678302928348E-2</v>
      </c>
      <c r="O60" s="241">
        <v>1445223</v>
      </c>
      <c r="P60" s="241">
        <v>1238734</v>
      </c>
      <c r="Q60" s="708">
        <f t="shared" si="0"/>
        <v>0.16669357586051567</v>
      </c>
      <c r="R60" s="241">
        <v>0.42749999999999999</v>
      </c>
      <c r="S60" s="703">
        <v>298824</v>
      </c>
      <c r="T60" s="708">
        <f t="shared" si="1"/>
        <v>0.20676670659130114</v>
      </c>
      <c r="U60" s="241">
        <v>305580</v>
      </c>
      <c r="V60" s="708">
        <f t="shared" si="2"/>
        <v>-2.2108776752405263E-2</v>
      </c>
    </row>
    <row r="61" spans="1:28">
      <c r="A61" s="58">
        <v>2016</v>
      </c>
      <c r="B61" t="s">
        <v>961</v>
      </c>
      <c r="C61" s="241">
        <v>75</v>
      </c>
      <c r="D61" s="241">
        <v>4308</v>
      </c>
      <c r="E61" s="241" t="s">
        <v>916</v>
      </c>
      <c r="F61" s="241" t="s">
        <v>916</v>
      </c>
      <c r="G61" s="706">
        <v>1590654</v>
      </c>
      <c r="H61" s="707">
        <v>1499083</v>
      </c>
      <c r="I61" s="708">
        <v>6.108467643219221E-2</v>
      </c>
      <c r="J61" s="846">
        <v>0.63983333587646485</v>
      </c>
      <c r="K61" s="703">
        <v>248922</v>
      </c>
      <c r="L61" s="709">
        <v>0.15649034925257158</v>
      </c>
      <c r="M61" s="704">
        <v>212604</v>
      </c>
      <c r="N61" s="709">
        <v>0.17082463170965739</v>
      </c>
      <c r="O61" s="712" t="s">
        <v>916</v>
      </c>
      <c r="P61" s="712" t="s">
        <v>916</v>
      </c>
      <c r="Q61" s="712" t="s">
        <v>916</v>
      </c>
      <c r="R61" s="712" t="s">
        <v>916</v>
      </c>
      <c r="S61" s="713" t="s">
        <v>916</v>
      </c>
      <c r="T61" s="712" t="s">
        <v>916</v>
      </c>
      <c r="U61" s="712"/>
      <c r="V61" s="712" t="s">
        <v>916</v>
      </c>
    </row>
    <row r="62" spans="1:28">
      <c r="A62" s="58">
        <v>2016</v>
      </c>
      <c r="B62" t="s">
        <v>2</v>
      </c>
      <c r="C62" s="241">
        <v>62</v>
      </c>
      <c r="D62" s="241">
        <v>4293</v>
      </c>
      <c r="E62" s="241" t="s">
        <v>916</v>
      </c>
      <c r="F62" s="241" t="s">
        <v>916</v>
      </c>
      <c r="G62" s="706">
        <v>1706737</v>
      </c>
      <c r="H62" s="707">
        <v>1635057</v>
      </c>
      <c r="I62" s="708">
        <v>4.3839450245465449E-2</v>
      </c>
      <c r="J62" s="846">
        <v>0.69805833180745436</v>
      </c>
      <c r="K62" s="703">
        <v>504885</v>
      </c>
      <c r="L62" s="709">
        <v>0.29581886371479615</v>
      </c>
      <c r="M62" s="704">
        <v>482449</v>
      </c>
      <c r="N62" s="709">
        <v>4.6504397355989963E-2</v>
      </c>
      <c r="O62" s="712" t="s">
        <v>916</v>
      </c>
      <c r="P62" s="712" t="s">
        <v>916</v>
      </c>
      <c r="Q62" s="712" t="s">
        <v>916</v>
      </c>
      <c r="R62" s="712" t="s">
        <v>916</v>
      </c>
      <c r="S62" s="713" t="s">
        <v>916</v>
      </c>
      <c r="T62" s="712" t="s">
        <v>916</v>
      </c>
      <c r="U62" s="712"/>
      <c r="V62" s="712" t="s">
        <v>916</v>
      </c>
    </row>
    <row r="63" spans="1:28">
      <c r="A63" s="58">
        <v>2016</v>
      </c>
      <c r="B63" t="s">
        <v>566</v>
      </c>
      <c r="C63" s="241">
        <v>40</v>
      </c>
      <c r="D63" s="241">
        <v>1027</v>
      </c>
      <c r="E63" s="241">
        <v>24</v>
      </c>
      <c r="F63" s="241">
        <v>9562</v>
      </c>
      <c r="G63" s="706">
        <v>340929</v>
      </c>
      <c r="H63" s="707">
        <v>352448</v>
      </c>
      <c r="I63" s="708">
        <v>-3.2682835482113676E-2</v>
      </c>
      <c r="J63" s="846">
        <v>0.48598333040873209</v>
      </c>
      <c r="K63" s="703">
        <v>76145</v>
      </c>
      <c r="L63" s="709">
        <v>0.22334562328226698</v>
      </c>
      <c r="M63" s="704">
        <v>75256</v>
      </c>
      <c r="N63" s="709">
        <v>1.1813011587115977E-2</v>
      </c>
      <c r="O63" s="241">
        <v>365902</v>
      </c>
      <c r="P63" s="241">
        <v>347847</v>
      </c>
      <c r="Q63" s="708">
        <f t="shared" si="0"/>
        <v>5.1905004211621773E-2</v>
      </c>
      <c r="R63" s="241">
        <v>0.40919998168945315</v>
      </c>
      <c r="S63" s="703">
        <v>109391</v>
      </c>
      <c r="T63" s="708">
        <f t="shared" si="1"/>
        <v>0.29896256374657693</v>
      </c>
      <c r="U63" s="711">
        <v>114016</v>
      </c>
      <c r="V63" s="708">
        <f t="shared" si="2"/>
        <v>-4.0564482177939939E-2</v>
      </c>
    </row>
    <row r="64" spans="1:28">
      <c r="A64" s="58">
        <v>2016</v>
      </c>
      <c r="B64" s="156" t="s">
        <v>567</v>
      </c>
      <c r="C64" s="241">
        <v>121</v>
      </c>
      <c r="D64" s="241">
        <v>3769</v>
      </c>
      <c r="E64" s="241">
        <v>125</v>
      </c>
      <c r="F64" s="241">
        <v>131825</v>
      </c>
      <c r="G64" s="706">
        <v>1145072</v>
      </c>
      <c r="H64" s="707">
        <v>1113044</v>
      </c>
      <c r="I64" s="708">
        <v>2.8775142761651832E-2</v>
      </c>
      <c r="J64" s="846">
        <v>0.46632500171661379</v>
      </c>
      <c r="K64" s="703">
        <v>119176</v>
      </c>
      <c r="L64" s="709">
        <v>0.10407729819609597</v>
      </c>
      <c r="M64" s="704">
        <v>124477</v>
      </c>
      <c r="N64" s="709">
        <v>-4.2586180579544816E-2</v>
      </c>
      <c r="O64" s="241">
        <v>5721532</v>
      </c>
      <c r="P64" s="241">
        <v>5545692</v>
      </c>
      <c r="Q64" s="708">
        <f t="shared" si="0"/>
        <v>3.1707494754486906E-2</v>
      </c>
      <c r="R64" s="241">
        <v>0.42090000152587892</v>
      </c>
      <c r="S64" s="703">
        <v>1607550</v>
      </c>
      <c r="T64" s="708">
        <f t="shared" si="1"/>
        <v>0.28096495833633367</v>
      </c>
      <c r="U64" s="711">
        <v>1546056</v>
      </c>
      <c r="V64" s="708">
        <f t="shared" si="2"/>
        <v>3.9774755894999923E-2</v>
      </c>
    </row>
    <row r="65" spans="1:23">
      <c r="A65" s="58">
        <v>2016</v>
      </c>
      <c r="B65" t="s">
        <v>568</v>
      </c>
      <c r="C65" s="241">
        <v>57</v>
      </c>
      <c r="D65" s="241">
        <v>1244</v>
      </c>
      <c r="E65" s="241">
        <v>97</v>
      </c>
      <c r="F65" s="241">
        <v>120048</v>
      </c>
      <c r="G65" s="706">
        <v>420793</v>
      </c>
      <c r="H65" s="707">
        <v>413165</v>
      </c>
      <c r="I65" s="708">
        <v>1.8462357653721877E-2</v>
      </c>
      <c r="J65" s="846">
        <v>0.43292500019073488</v>
      </c>
      <c r="K65" s="703">
        <v>75663</v>
      </c>
      <c r="L65" s="709">
        <v>0.17981050064996329</v>
      </c>
      <c r="M65" s="704">
        <v>73125</v>
      </c>
      <c r="N65" s="709">
        <v>3.4707692307692307E-2</v>
      </c>
      <c r="O65" s="241">
        <v>5295501</v>
      </c>
      <c r="P65" s="241">
        <v>5100789</v>
      </c>
      <c r="Q65" s="708">
        <f t="shared" si="0"/>
        <v>3.8172917954457632E-2</v>
      </c>
      <c r="R65" s="241">
        <v>0.42090000152587892</v>
      </c>
      <c r="S65" s="703">
        <v>1571951</v>
      </c>
      <c r="T65" s="708">
        <f t="shared" si="1"/>
        <v>0.29684651178424853</v>
      </c>
      <c r="U65" s="241">
        <v>1505348</v>
      </c>
      <c r="V65" s="708">
        <f t="shared" si="2"/>
        <v>4.4244254484677295E-2</v>
      </c>
    </row>
    <row r="66" spans="1:23">
      <c r="A66" s="58">
        <v>2016</v>
      </c>
      <c r="B66" t="s">
        <v>569</v>
      </c>
      <c r="C66" s="241">
        <v>32</v>
      </c>
      <c r="D66" s="241">
        <v>1764</v>
      </c>
      <c r="E66" s="241" t="s">
        <v>916</v>
      </c>
      <c r="F66" s="241" t="s">
        <v>916</v>
      </c>
      <c r="G66" s="706">
        <v>500286</v>
      </c>
      <c r="H66" s="707">
        <v>474658</v>
      </c>
      <c r="I66" s="708">
        <v>5.3992558852900406E-2</v>
      </c>
      <c r="J66" s="846">
        <v>0.49701666673024497</v>
      </c>
      <c r="K66" s="703">
        <v>17942</v>
      </c>
      <c r="L66" s="709">
        <v>3.586348608595883E-2</v>
      </c>
      <c r="M66" s="704">
        <v>18204</v>
      </c>
      <c r="N66" s="709">
        <v>-1.4392441221709514E-2</v>
      </c>
      <c r="O66" s="712" t="s">
        <v>916</v>
      </c>
      <c r="P66" s="712" t="s">
        <v>916</v>
      </c>
      <c r="Q66" s="712" t="s">
        <v>916</v>
      </c>
      <c r="R66" s="712" t="s">
        <v>916</v>
      </c>
      <c r="S66" s="713" t="s">
        <v>916</v>
      </c>
      <c r="T66" s="712" t="s">
        <v>916</v>
      </c>
      <c r="U66" s="712"/>
      <c r="V66" s="712" t="s">
        <v>916</v>
      </c>
      <c r="W66" s="337"/>
    </row>
    <row r="67" spans="1:23">
      <c r="A67" s="58">
        <v>2016</v>
      </c>
      <c r="B67" t="s">
        <v>570</v>
      </c>
      <c r="C67" s="241">
        <v>32</v>
      </c>
      <c r="D67" s="241">
        <v>761</v>
      </c>
      <c r="E67" s="241">
        <v>29</v>
      </c>
      <c r="F67" s="241">
        <v>11777</v>
      </c>
      <c r="G67" s="706">
        <v>223994</v>
      </c>
      <c r="H67" s="707">
        <v>225222</v>
      </c>
      <c r="I67" s="708">
        <v>-5.4523980783404815E-3</v>
      </c>
      <c r="J67" s="846">
        <v>0.44492499510447181</v>
      </c>
      <c r="K67" s="703">
        <v>25569</v>
      </c>
      <c r="L67" s="709">
        <v>0.11415037902800967</v>
      </c>
      <c r="M67" s="704">
        <v>33148</v>
      </c>
      <c r="N67" s="709">
        <v>-0.22864124532400146</v>
      </c>
      <c r="O67" s="241">
        <v>426031</v>
      </c>
      <c r="P67" s="241">
        <v>444902</v>
      </c>
      <c r="Q67" s="708">
        <f t="shared" si="0"/>
        <v>-4.2416082642919115E-2</v>
      </c>
      <c r="R67" s="241">
        <v>0.42130001068115236</v>
      </c>
      <c r="S67" s="703">
        <v>35599</v>
      </c>
      <c r="T67" s="708">
        <f t="shared" si="1"/>
        <v>8.3559647067936366E-2</v>
      </c>
      <c r="U67" s="241">
        <v>40706</v>
      </c>
      <c r="V67" s="708">
        <f t="shared" si="2"/>
        <v>-0.12546062005601141</v>
      </c>
    </row>
    <row r="68" spans="1:23">
      <c r="A68" s="58">
        <v>2016</v>
      </c>
      <c r="B68" s="156" t="s">
        <v>571</v>
      </c>
      <c r="C68" s="241">
        <v>48</v>
      </c>
      <c r="D68" s="241">
        <v>1320</v>
      </c>
      <c r="E68" s="241">
        <v>28</v>
      </c>
      <c r="F68" s="241">
        <v>9735</v>
      </c>
      <c r="G68" s="706">
        <v>399906</v>
      </c>
      <c r="H68" s="707">
        <v>394157</v>
      </c>
      <c r="I68" s="708">
        <v>1.4585558546467524E-2</v>
      </c>
      <c r="J68" s="846">
        <v>0.51128333727518716</v>
      </c>
      <c r="K68" s="703">
        <v>43886</v>
      </c>
      <c r="L68" s="709">
        <v>0.10974078908543508</v>
      </c>
      <c r="M68" s="704">
        <v>43490</v>
      </c>
      <c r="N68" s="709">
        <v>9.1055415037939753E-3</v>
      </c>
      <c r="O68" s="241">
        <v>305098</v>
      </c>
      <c r="P68" s="241">
        <v>279267</v>
      </c>
      <c r="Q68" s="708">
        <f t="shared" si="0"/>
        <v>9.249571198888519E-2</v>
      </c>
      <c r="R68" s="241">
        <v>0.29569999694824217</v>
      </c>
      <c r="S68" s="703">
        <v>101410</v>
      </c>
      <c r="T68" s="708">
        <f t="shared" si="1"/>
        <v>0.33238500416259692</v>
      </c>
      <c r="U68" s="711">
        <v>105243</v>
      </c>
      <c r="V68" s="708">
        <f t="shared" si="2"/>
        <v>-3.6420474520870744E-2</v>
      </c>
    </row>
    <row r="69" spans="1:23">
      <c r="A69" s="58">
        <v>2016</v>
      </c>
      <c r="B69" s="156" t="s">
        <v>572</v>
      </c>
      <c r="C69" s="710">
        <v>271</v>
      </c>
      <c r="D69" s="710">
        <v>8315</v>
      </c>
      <c r="E69" s="710">
        <v>94</v>
      </c>
      <c r="F69" s="710">
        <v>48856</v>
      </c>
      <c r="G69" s="706">
        <v>2775284</v>
      </c>
      <c r="H69" s="707">
        <v>2683639</v>
      </c>
      <c r="I69" s="708">
        <v>3.4149526072620048E-2</v>
      </c>
      <c r="J69" s="846">
        <v>0.5418833255767822</v>
      </c>
      <c r="K69" s="703">
        <v>505459</v>
      </c>
      <c r="L69" s="709">
        <v>0.18212874790471895</v>
      </c>
      <c r="M69" s="704">
        <v>484135</v>
      </c>
      <c r="N69" s="709">
        <v>4.4045565802926873E-2</v>
      </c>
      <c r="O69" s="241">
        <v>1989639</v>
      </c>
      <c r="P69" s="241">
        <v>1949418</v>
      </c>
      <c r="Q69" s="708">
        <f t="shared" si="0"/>
        <v>2.0632311797674999E-2</v>
      </c>
      <c r="R69" s="241">
        <v>0.39959999084472658</v>
      </c>
      <c r="S69" s="703">
        <v>474662</v>
      </c>
      <c r="T69" s="708">
        <f t="shared" si="1"/>
        <v>0.23856689580371113</v>
      </c>
      <c r="U69" s="241">
        <v>441756</v>
      </c>
      <c r="V69" s="708">
        <f t="shared" si="2"/>
        <v>7.4489084471970946E-2</v>
      </c>
    </row>
    <row r="70" spans="1:23">
      <c r="A70" s="58">
        <v>2016</v>
      </c>
      <c r="B70" t="s">
        <v>573</v>
      </c>
      <c r="C70" s="710">
        <v>148</v>
      </c>
      <c r="D70" s="710">
        <v>5037</v>
      </c>
      <c r="E70" s="710">
        <v>50</v>
      </c>
      <c r="F70" s="710">
        <v>35058</v>
      </c>
      <c r="G70" s="706">
        <v>1926713</v>
      </c>
      <c r="H70" s="707">
        <v>1833878</v>
      </c>
      <c r="I70" s="708">
        <v>5.0622233321954896E-2</v>
      </c>
      <c r="J70" s="846">
        <v>0.5965500068664551</v>
      </c>
      <c r="K70" s="703">
        <v>380405</v>
      </c>
      <c r="L70" s="709">
        <v>0.19743729346301186</v>
      </c>
      <c r="M70" s="704">
        <v>362263</v>
      </c>
      <c r="N70" s="709">
        <v>5.0079638273850764E-2</v>
      </c>
      <c r="O70" s="241">
        <v>1467302</v>
      </c>
      <c r="P70" s="241">
        <v>1442888</v>
      </c>
      <c r="Q70" s="708">
        <f t="shared" si="0"/>
        <v>1.6920232200974713E-2</v>
      </c>
      <c r="R70" s="241">
        <v>0.42220001220703124</v>
      </c>
      <c r="S70" s="703">
        <v>418172</v>
      </c>
      <c r="T70" s="708">
        <f t="shared" si="1"/>
        <v>0.28499381858676676</v>
      </c>
      <c r="U70" s="241">
        <v>367374</v>
      </c>
      <c r="V70" s="708">
        <f t="shared" si="2"/>
        <v>0.13827325831441528</v>
      </c>
    </row>
    <row r="71" spans="1:23">
      <c r="A71" s="58">
        <v>2016</v>
      </c>
      <c r="B71" t="s">
        <v>574</v>
      </c>
      <c r="C71" s="710">
        <v>32</v>
      </c>
      <c r="D71" s="710">
        <v>650</v>
      </c>
      <c r="E71" s="710">
        <v>19</v>
      </c>
      <c r="F71" s="710">
        <v>7114</v>
      </c>
      <c r="G71" s="706">
        <v>182286</v>
      </c>
      <c r="H71" s="707">
        <v>187104</v>
      </c>
      <c r="I71" s="708">
        <v>-2.5750384812724476E-2</v>
      </c>
      <c r="J71" s="846">
        <v>0.42217500368754068</v>
      </c>
      <c r="K71" s="703">
        <v>25397</v>
      </c>
      <c r="L71" s="709">
        <v>0.13932501673194869</v>
      </c>
      <c r="M71" s="704">
        <v>26814</v>
      </c>
      <c r="N71" s="709">
        <v>-5.2845528455284556E-2</v>
      </c>
      <c r="O71" s="241">
        <v>298869</v>
      </c>
      <c r="P71" s="241">
        <v>264552</v>
      </c>
      <c r="Q71" s="708">
        <f t="shared" si="0"/>
        <v>0.12971740905379661</v>
      </c>
      <c r="R71" s="241">
        <v>0.3856999969482422</v>
      </c>
      <c r="S71" s="703">
        <v>23658</v>
      </c>
      <c r="T71" s="708">
        <f t="shared" si="1"/>
        <v>7.915842727081096E-2</v>
      </c>
      <c r="U71" s="241">
        <v>26648</v>
      </c>
      <c r="V71" s="708">
        <f t="shared" si="2"/>
        <v>-0.11220354247973581</v>
      </c>
    </row>
    <row r="72" spans="1:23">
      <c r="A72" s="58">
        <v>2016</v>
      </c>
      <c r="B72" t="s">
        <v>575</v>
      </c>
      <c r="C72" s="710">
        <v>44</v>
      </c>
      <c r="D72" s="710">
        <v>704</v>
      </c>
      <c r="E72" s="710">
        <v>27</v>
      </c>
      <c r="F72" s="710">
        <v>7029</v>
      </c>
      <c r="G72" s="706">
        <v>212310</v>
      </c>
      <c r="H72" s="707">
        <v>201902</v>
      </c>
      <c r="I72" s="708">
        <v>5.1549761765609055E-2</v>
      </c>
      <c r="J72" s="846">
        <v>0.42278333504994714</v>
      </c>
      <c r="K72" s="703">
        <v>31062</v>
      </c>
      <c r="L72" s="709">
        <v>0.14630493146813622</v>
      </c>
      <c r="M72" s="704">
        <v>26551</v>
      </c>
      <c r="N72" s="709">
        <v>0.16989943881586381</v>
      </c>
      <c r="O72" s="241">
        <v>270172</v>
      </c>
      <c r="P72" s="241">
        <v>260726</v>
      </c>
      <c r="Q72" s="708">
        <f t="shared" si="0"/>
        <v>3.6229605025965957E-2</v>
      </c>
      <c r="R72" s="241">
        <v>0.34650001525878904</v>
      </c>
      <c r="S72" s="703">
        <v>29851</v>
      </c>
      <c r="T72" s="708">
        <f t="shared" si="1"/>
        <v>0.11048887375449713</v>
      </c>
      <c r="U72" s="241">
        <v>32598</v>
      </c>
      <c r="V72" s="708">
        <f t="shared" si="2"/>
        <v>-8.4268973556659924E-2</v>
      </c>
    </row>
    <row r="73" spans="1:23">
      <c r="A73" s="58">
        <v>2016</v>
      </c>
      <c r="B73" s="156" t="s">
        <v>74</v>
      </c>
      <c r="C73" s="710">
        <v>831</v>
      </c>
      <c r="D73" s="710">
        <v>28564</v>
      </c>
      <c r="E73" s="710">
        <v>560</v>
      </c>
      <c r="F73" s="710">
        <v>398413</v>
      </c>
      <c r="G73" s="706">
        <v>9626509</v>
      </c>
      <c r="H73" s="707">
        <v>9312725</v>
      </c>
      <c r="I73" s="708">
        <v>3.3694112088566985E-2</v>
      </c>
      <c r="J73" s="846">
        <v>0.55540000279744473</v>
      </c>
      <c r="K73" s="703">
        <v>1865897</v>
      </c>
      <c r="L73" s="709">
        <v>0.19382904020554076</v>
      </c>
      <c r="M73" s="704">
        <v>1789396</v>
      </c>
      <c r="N73" s="709">
        <v>4.2752414781300506E-2</v>
      </c>
      <c r="O73" s="241">
        <v>15608813</v>
      </c>
      <c r="P73" s="241">
        <v>14849218</v>
      </c>
      <c r="Q73" s="708">
        <f t="shared" si="0"/>
        <v>5.1153872210644359E-2</v>
      </c>
      <c r="R73" s="241">
        <v>0.39250000000000002</v>
      </c>
      <c r="S73" s="703">
        <v>4818855</v>
      </c>
      <c r="T73" s="708">
        <f t="shared" si="1"/>
        <v>0.30872655082740758</v>
      </c>
      <c r="U73" s="241">
        <v>4849040</v>
      </c>
      <c r="V73" s="708">
        <f t="shared" si="2"/>
        <v>-6.2249434939699406E-3</v>
      </c>
    </row>
    <row r="74" spans="1:23">
      <c r="A74" s="58">
        <v>2016</v>
      </c>
      <c r="B74" t="s">
        <v>912</v>
      </c>
      <c r="C74" s="710">
        <v>261</v>
      </c>
      <c r="D74" s="710" t="s">
        <v>916</v>
      </c>
      <c r="E74" s="710">
        <v>245</v>
      </c>
      <c r="F74" s="710">
        <v>265345</v>
      </c>
      <c r="G74" s="706">
        <v>2997787</v>
      </c>
      <c r="H74" s="707">
        <v>2850355</v>
      </c>
      <c r="I74" s="708">
        <v>5.1724083491354586E-2</v>
      </c>
      <c r="J74" s="846">
        <v>0.55289999643961585</v>
      </c>
      <c r="K74" s="703">
        <v>555378</v>
      </c>
      <c r="L74" s="709">
        <v>0.18526266209040201</v>
      </c>
      <c r="M74" s="704">
        <v>527018</v>
      </c>
      <c r="N74" s="709">
        <v>5.3812203757746417E-2</v>
      </c>
      <c r="O74" s="241">
        <v>10915769</v>
      </c>
      <c r="P74" s="241">
        <v>10209625</v>
      </c>
      <c r="Q74" s="708">
        <f t="shared" si="0"/>
        <v>6.916453836453347E-2</v>
      </c>
      <c r="R74" s="241">
        <v>0.40770000457763672</v>
      </c>
      <c r="S74" s="703">
        <v>3322178</v>
      </c>
      <c r="T74" s="708">
        <f t="shared" si="1"/>
        <v>0.30434667498002205</v>
      </c>
      <c r="U74" s="241">
        <v>3214698</v>
      </c>
      <c r="V74" s="708">
        <f t="shared" si="2"/>
        <v>3.343393376298489E-2</v>
      </c>
    </row>
    <row r="75" spans="1:23">
      <c r="A75" s="58">
        <v>2016</v>
      </c>
      <c r="B75" t="s">
        <v>913</v>
      </c>
      <c r="C75" s="710">
        <v>570</v>
      </c>
      <c r="D75" s="710" t="s">
        <v>916</v>
      </c>
      <c r="E75" s="710">
        <v>315</v>
      </c>
      <c r="F75" s="710">
        <v>133068</v>
      </c>
      <c r="G75" s="706">
        <v>6628724</v>
      </c>
      <c r="H75" s="707">
        <v>6462367</v>
      </c>
      <c r="I75" s="708">
        <v>2.5742425337341564E-2</v>
      </c>
      <c r="J75" s="846">
        <v>0.55529999732971191</v>
      </c>
      <c r="K75" s="703">
        <v>1310519</v>
      </c>
      <c r="L75" s="709">
        <v>0.19770305717963216</v>
      </c>
      <c r="M75" s="704">
        <v>1262376</v>
      </c>
      <c r="N75" s="709">
        <v>3.8136815021831846E-2</v>
      </c>
      <c r="O75" s="241">
        <v>4693045</v>
      </c>
      <c r="P75" s="241">
        <v>4639594</v>
      </c>
      <c r="Q75" s="708">
        <f t="shared" si="0"/>
        <v>1.1520620123226299E-2</v>
      </c>
      <c r="R75" s="241">
        <v>0.36380001068115236</v>
      </c>
      <c r="S75" s="703">
        <v>1496677</v>
      </c>
      <c r="T75" s="708">
        <f t="shared" si="1"/>
        <v>0.31891383952210134</v>
      </c>
      <c r="U75" s="241">
        <v>1634341</v>
      </c>
      <c r="V75" s="708">
        <f t="shared" si="2"/>
        <v>-8.4232115574411945E-2</v>
      </c>
    </row>
    <row r="76" spans="1:23">
      <c r="A76" s="58">
        <v>2016</v>
      </c>
      <c r="B76" t="s">
        <v>914</v>
      </c>
      <c r="C76" s="848">
        <v>80</v>
      </c>
      <c r="D76" s="849" t="s">
        <v>916</v>
      </c>
      <c r="E76" s="710">
        <v>27</v>
      </c>
      <c r="F76" s="710">
        <v>6684</v>
      </c>
      <c r="G76" s="714">
        <v>628128</v>
      </c>
      <c r="H76" s="703">
        <v>629724</v>
      </c>
      <c r="I76" s="708">
        <v>-2.5344436610324522E-3</v>
      </c>
      <c r="J76" s="846">
        <v>0.46205000559488929</v>
      </c>
      <c r="K76" s="703">
        <v>92440</v>
      </c>
      <c r="L76" s="709">
        <v>0.14716745631463651</v>
      </c>
      <c r="M76" s="704">
        <v>91404</v>
      </c>
      <c r="N76" s="709">
        <v>1.1334296092074744E-2</v>
      </c>
      <c r="O76" s="241">
        <v>223468</v>
      </c>
      <c r="P76" s="241">
        <v>241977</v>
      </c>
      <c r="Q76" s="708">
        <f t="shared" si="0"/>
        <v>-7.6490740855535852E-2</v>
      </c>
      <c r="R76" s="241">
        <v>0.31850000381469729</v>
      </c>
      <c r="S76" s="703">
        <v>32832</v>
      </c>
      <c r="T76" s="708">
        <f t="shared" si="1"/>
        <v>0.14692036443696638</v>
      </c>
      <c r="U76" s="241">
        <v>47734</v>
      </c>
      <c r="V76" s="708">
        <f t="shared" si="2"/>
        <v>-0.31218837725730086</v>
      </c>
    </row>
    <row r="77" spans="1:23" s="818" customFormat="1">
      <c r="A77" s="58">
        <v>2016</v>
      </c>
      <c r="B77" s="818" t="s">
        <v>915</v>
      </c>
      <c r="C77" s="848">
        <v>191</v>
      </c>
      <c r="D77" s="849" t="s">
        <v>916</v>
      </c>
      <c r="E77" s="710">
        <v>69</v>
      </c>
      <c r="F77" s="710">
        <v>42172</v>
      </c>
      <c r="G77" s="714">
        <v>2147154</v>
      </c>
      <c r="H77" s="703">
        <v>2053916</v>
      </c>
      <c r="I77" s="708">
        <v>4.5395235248179573E-2</v>
      </c>
      <c r="J77" s="846">
        <v>0.57652500470479329</v>
      </c>
      <c r="K77" s="703">
        <v>413017</v>
      </c>
      <c r="L77" s="709">
        <v>0.19235555530716475</v>
      </c>
      <c r="M77" s="704">
        <v>392731</v>
      </c>
      <c r="N77" s="709">
        <v>5.1653676435015318E-2</v>
      </c>
      <c r="O77" s="241">
        <v>1766171</v>
      </c>
      <c r="P77" s="241">
        <v>1707441</v>
      </c>
      <c r="Q77" s="708">
        <f t="shared" ref="Q77" si="3">(O77-P77)/P77</f>
        <v>3.4396503305238656E-2</v>
      </c>
      <c r="R77" s="241">
        <v>0.41520000457763673</v>
      </c>
      <c r="S77" s="703">
        <v>441830</v>
      </c>
      <c r="T77" s="708">
        <f t="shared" ref="T77" si="4">S77/O77</f>
        <v>0.25016263997087484</v>
      </c>
      <c r="U77" s="241">
        <v>394022</v>
      </c>
      <c r="V77" s="708">
        <f t="shared" ref="V77" si="5">(S77-U77)/U77</f>
        <v>0.12133332656552172</v>
      </c>
    </row>
    <row r="78" spans="1:23">
      <c r="F78" s="273"/>
    </row>
    <row r="79" spans="1:23" s="272" customFormat="1">
      <c r="A79" s="272" t="s">
        <v>911</v>
      </c>
    </row>
    <row r="80" spans="1:23" s="275" customFormat="1">
      <c r="A80" s="648" t="s">
        <v>921</v>
      </c>
    </row>
    <row r="81" spans="1:40">
      <c r="A81" s="277" t="s">
        <v>536</v>
      </c>
      <c r="B81" s="278"/>
      <c r="C81" s="278"/>
      <c r="D81" s="278"/>
      <c r="E81" s="278"/>
      <c r="F81" s="278"/>
      <c r="H81" s="274" t="s">
        <v>933</v>
      </c>
      <c r="W81" t="s">
        <v>943</v>
      </c>
    </row>
    <row r="82" spans="1:40">
      <c r="A82" s="279" t="s">
        <v>537</v>
      </c>
      <c r="B82" s="280"/>
      <c r="C82" s="280"/>
      <c r="D82" s="278"/>
      <c r="E82" s="280"/>
      <c r="F82" s="278"/>
      <c r="G82" s="169"/>
      <c r="I82">
        <v>2012</v>
      </c>
      <c r="J82">
        <v>2013</v>
      </c>
      <c r="K82">
        <v>2014</v>
      </c>
      <c r="L82">
        <v>2015</v>
      </c>
      <c r="M82" s="241">
        <v>2016</v>
      </c>
      <c r="P82">
        <v>2012</v>
      </c>
      <c r="Q82">
        <v>2013</v>
      </c>
      <c r="R82">
        <v>2014</v>
      </c>
      <c r="S82">
        <v>2015</v>
      </c>
      <c r="T82">
        <v>2016</v>
      </c>
      <c r="X82">
        <v>2012</v>
      </c>
      <c r="Y82">
        <v>2013</v>
      </c>
      <c r="Z82">
        <v>2014</v>
      </c>
      <c r="AA82">
        <v>2015</v>
      </c>
      <c r="AB82" s="241">
        <v>2016</v>
      </c>
      <c r="AE82">
        <v>2012</v>
      </c>
      <c r="AF82">
        <v>2013</v>
      </c>
      <c r="AG82">
        <v>2014</v>
      </c>
      <c r="AH82">
        <v>2015</v>
      </c>
      <c r="AI82" s="241">
        <v>2016</v>
      </c>
    </row>
    <row r="83" spans="1:40" ht="45">
      <c r="A83" s="278"/>
      <c r="B83" s="280"/>
      <c r="C83" s="280" t="s">
        <v>538</v>
      </c>
      <c r="D83" s="280" t="s">
        <v>540</v>
      </c>
      <c r="E83" s="280" t="s">
        <v>539</v>
      </c>
      <c r="F83" s="280" t="s">
        <v>540</v>
      </c>
      <c r="G83" s="169"/>
      <c r="H83" t="s">
        <v>922</v>
      </c>
      <c r="I83" t="s">
        <v>932</v>
      </c>
      <c r="J83" t="s">
        <v>931</v>
      </c>
      <c r="K83" t="s">
        <v>930</v>
      </c>
      <c r="L83" t="s">
        <v>929</v>
      </c>
      <c r="M83" s="241" t="s">
        <v>928</v>
      </c>
      <c r="O83" t="s">
        <v>922</v>
      </c>
      <c r="P83" t="s">
        <v>932</v>
      </c>
      <c r="Q83" t="s">
        <v>931</v>
      </c>
      <c r="R83" t="s">
        <v>930</v>
      </c>
      <c r="S83" t="s">
        <v>929</v>
      </c>
      <c r="T83" t="s">
        <v>928</v>
      </c>
      <c r="W83" t="s">
        <v>922</v>
      </c>
      <c r="X83" s="55" t="s">
        <v>927</v>
      </c>
      <c r="Y83" s="55" t="s">
        <v>926</v>
      </c>
      <c r="Z83" s="55" t="s">
        <v>925</v>
      </c>
      <c r="AA83" s="55" t="s">
        <v>924</v>
      </c>
      <c r="AB83" s="702" t="s">
        <v>923</v>
      </c>
      <c r="AD83" t="s">
        <v>922</v>
      </c>
      <c r="AE83" s="55" t="s">
        <v>927</v>
      </c>
      <c r="AF83" s="55" t="s">
        <v>926</v>
      </c>
      <c r="AG83" s="55" t="s">
        <v>925</v>
      </c>
      <c r="AH83" s="55" t="s">
        <v>924</v>
      </c>
      <c r="AI83" s="702" t="s">
        <v>923</v>
      </c>
      <c r="AN83" s="55"/>
    </row>
    <row r="84" spans="1:40">
      <c r="A84" s="281" t="s">
        <v>254</v>
      </c>
      <c r="B84" s="281" t="s">
        <v>234</v>
      </c>
      <c r="C84" s="282">
        <v>8682000</v>
      </c>
      <c r="D84" s="282">
        <v>4786</v>
      </c>
      <c r="E84" s="282">
        <v>1043</v>
      </c>
      <c r="F84" s="282">
        <v>390</v>
      </c>
      <c r="G84" s="170"/>
      <c r="H84" t="s">
        <v>506</v>
      </c>
      <c r="I84" s="16">
        <v>6351.2300000000005</v>
      </c>
      <c r="J84" s="16">
        <v>6513.7799999999988</v>
      </c>
      <c r="K84" s="16">
        <v>6681.4499999999989</v>
      </c>
      <c r="L84" s="16">
        <v>6735.0499999999993</v>
      </c>
      <c r="M84" s="703">
        <v>6843.7700000000013</v>
      </c>
      <c r="N84" s="16"/>
      <c r="O84" t="s">
        <v>506</v>
      </c>
      <c r="P84" s="16">
        <v>100</v>
      </c>
      <c r="Q84" s="285">
        <f t="shared" ref="Q84:Q93" si="6">(J84/$I84)*100</f>
        <v>102.5593467722</v>
      </c>
      <c r="R84" s="285">
        <f t="shared" ref="R84:R93" si="7">(K84/$I84)*100</f>
        <v>105.19930785060529</v>
      </c>
      <c r="S84" s="285">
        <f t="shared" ref="S84:S93" si="8">(L84/$I84)*100</f>
        <v>106.04323886869156</v>
      </c>
      <c r="T84" s="285">
        <f t="shared" ref="T84:T93" si="9">(M84/$I84)*100</f>
        <v>107.75503327701878</v>
      </c>
      <c r="W84" t="s">
        <v>506</v>
      </c>
      <c r="X84" s="16">
        <v>2400</v>
      </c>
      <c r="Y84" s="16">
        <v>2690.6299999999997</v>
      </c>
      <c r="Z84" s="16">
        <v>2778.54</v>
      </c>
      <c r="AA84" s="16">
        <v>2756</v>
      </c>
      <c r="AB84" s="703">
        <v>2775.2999999999997</v>
      </c>
      <c r="AD84" t="s">
        <v>506</v>
      </c>
      <c r="AE84" s="16">
        <v>100</v>
      </c>
      <c r="AF84" s="285">
        <f>(Y84/$X84)*100</f>
        <v>112.10958333333332</v>
      </c>
      <c r="AG84" s="285">
        <f>(Z84/$X84)*100</f>
        <v>115.77249999999999</v>
      </c>
      <c r="AH84" s="285">
        <f>(AA84/$X84)*100</f>
        <v>114.83333333333334</v>
      </c>
      <c r="AI84" s="704">
        <f>(AB84/$X84)*100</f>
        <v>115.63749999999999</v>
      </c>
    </row>
    <row r="85" spans="1:40">
      <c r="A85" s="281" t="s">
        <v>255</v>
      </c>
      <c r="B85" s="281" t="s">
        <v>235</v>
      </c>
      <c r="C85" s="282">
        <v>5629000</v>
      </c>
      <c r="D85" s="282">
        <v>1714</v>
      </c>
      <c r="E85" s="282">
        <v>1693</v>
      </c>
      <c r="F85" s="282">
        <v>619</v>
      </c>
      <c r="G85" s="170"/>
      <c r="H85" t="s">
        <v>74</v>
      </c>
      <c r="I85" s="16">
        <v>8802.86</v>
      </c>
      <c r="J85" s="16">
        <v>8951.2500000000018</v>
      </c>
      <c r="K85" s="16">
        <v>8838.9499999999971</v>
      </c>
      <c r="L85" s="16">
        <v>9311.4</v>
      </c>
      <c r="M85" s="703">
        <v>9626.51</v>
      </c>
      <c r="N85" s="16"/>
      <c r="O85" t="s">
        <v>74</v>
      </c>
      <c r="P85" s="16">
        <v>100</v>
      </c>
      <c r="Q85" s="285">
        <f t="shared" si="6"/>
        <v>101.6857021468023</v>
      </c>
      <c r="R85" s="285">
        <f t="shared" si="7"/>
        <v>100.40998039273596</v>
      </c>
      <c r="S85" s="285">
        <f t="shared" si="8"/>
        <v>105.77698611587596</v>
      </c>
      <c r="T85" s="285">
        <f t="shared" si="9"/>
        <v>109.35661818999733</v>
      </c>
      <c r="W85" t="s">
        <v>74</v>
      </c>
      <c r="X85" s="16">
        <v>1431.1499999999999</v>
      </c>
      <c r="Y85" s="16">
        <v>1495.22</v>
      </c>
      <c r="Z85" s="16">
        <v>1659.3100000000002</v>
      </c>
      <c r="AA85" s="16">
        <v>1663</v>
      </c>
      <c r="AB85" s="703">
        <v>1865.8999999999999</v>
      </c>
      <c r="AD85" t="s">
        <v>74</v>
      </c>
      <c r="AE85" s="16">
        <v>100</v>
      </c>
      <c r="AF85" s="285">
        <f t="shared" ref="AF85:AF93" si="10">(Y85/$X85)*100</f>
        <v>104.47681934108934</v>
      </c>
      <c r="AG85" s="285">
        <f t="shared" ref="AG85:AG93" si="11">(Z85/$X85)*100</f>
        <v>115.94242392481573</v>
      </c>
      <c r="AH85" s="285">
        <f t="shared" ref="AH85:AH93" si="12">(AA85/$X85)*100</f>
        <v>116.20025853334732</v>
      </c>
      <c r="AI85" s="704">
        <f t="shared" ref="AI85:AI93" si="13">(AB85/$X85)*100</f>
        <v>130.37766830870279</v>
      </c>
    </row>
    <row r="86" spans="1:40">
      <c r="A86" s="281" t="s">
        <v>256</v>
      </c>
      <c r="B86" s="281" t="s">
        <v>236</v>
      </c>
      <c r="C86" s="282">
        <v>2766000</v>
      </c>
      <c r="D86" s="282">
        <v>704</v>
      </c>
      <c r="E86" s="282">
        <v>267</v>
      </c>
      <c r="F86" s="282">
        <v>62</v>
      </c>
      <c r="G86" s="170"/>
      <c r="H86" t="s">
        <v>508</v>
      </c>
      <c r="I86" s="16">
        <v>7168.869999999999</v>
      </c>
      <c r="J86" s="16">
        <v>7135.7299999999977</v>
      </c>
      <c r="K86" s="16">
        <v>7134.7000000000007</v>
      </c>
      <c r="L86" s="16">
        <v>7500.53</v>
      </c>
      <c r="M86" s="703">
        <v>7655.1</v>
      </c>
      <c r="N86" s="16"/>
      <c r="O86" t="s">
        <v>508</v>
      </c>
      <c r="P86" s="16">
        <v>100</v>
      </c>
      <c r="Q86" s="285">
        <f t="shared" si="6"/>
        <v>99.537723518490338</v>
      </c>
      <c r="R86" s="285">
        <f t="shared" si="7"/>
        <v>99.523355842692112</v>
      </c>
      <c r="S86" s="285">
        <f t="shared" si="8"/>
        <v>104.62639160704548</v>
      </c>
      <c r="T86" s="285">
        <f t="shared" si="9"/>
        <v>106.78251942077345</v>
      </c>
      <c r="W86" t="s">
        <v>508</v>
      </c>
      <c r="X86" s="16">
        <v>1045.4100000000001</v>
      </c>
      <c r="Y86" s="16">
        <v>1072.3799999999999</v>
      </c>
      <c r="Z86" s="16">
        <v>1156.3300000000002</v>
      </c>
      <c r="AA86" s="16">
        <v>1244</v>
      </c>
      <c r="AB86" s="703">
        <v>1130.49</v>
      </c>
      <c r="AD86" t="s">
        <v>508</v>
      </c>
      <c r="AE86" s="16">
        <v>100</v>
      </c>
      <c r="AF86" s="285">
        <f t="shared" si="10"/>
        <v>102.57984905443796</v>
      </c>
      <c r="AG86" s="285">
        <f t="shared" si="11"/>
        <v>110.61019121684316</v>
      </c>
      <c r="AH86" s="285">
        <f t="shared" si="12"/>
        <v>118.99637462813632</v>
      </c>
      <c r="AI86" s="704">
        <f t="shared" si="13"/>
        <v>108.13843372456739</v>
      </c>
    </row>
    <row r="87" spans="1:40">
      <c r="A87" s="281" t="s">
        <v>71</v>
      </c>
      <c r="B87" s="281" t="s">
        <v>114</v>
      </c>
      <c r="C87" s="282">
        <v>3770000</v>
      </c>
      <c r="D87" s="282">
        <v>722</v>
      </c>
      <c r="E87" s="282">
        <v>4014</v>
      </c>
      <c r="F87" s="282">
        <v>1456</v>
      </c>
      <c r="G87" s="170"/>
      <c r="H87" t="s">
        <v>763</v>
      </c>
      <c r="I87" s="16">
        <v>2921.56</v>
      </c>
      <c r="J87" s="16">
        <v>2893.77</v>
      </c>
      <c r="K87" s="16">
        <v>2911.87</v>
      </c>
      <c r="L87" s="16">
        <v>2839.7499999999995</v>
      </c>
      <c r="M87" s="703">
        <v>2916.63</v>
      </c>
      <c r="N87" s="16"/>
      <c r="O87" t="s">
        <v>763</v>
      </c>
      <c r="P87" s="16">
        <v>100</v>
      </c>
      <c r="Q87" s="285">
        <f t="shared" si="6"/>
        <v>99.048795848793119</v>
      </c>
      <c r="R87" s="285">
        <f t="shared" si="7"/>
        <v>99.668327879625949</v>
      </c>
      <c r="S87" s="285">
        <f t="shared" si="8"/>
        <v>97.199783677213532</v>
      </c>
      <c r="T87" s="285">
        <f t="shared" si="9"/>
        <v>99.831254535248291</v>
      </c>
      <c r="W87" t="s">
        <v>763</v>
      </c>
      <c r="X87" s="16">
        <v>608.2600000000001</v>
      </c>
      <c r="Y87" s="16">
        <v>590.11</v>
      </c>
      <c r="Z87" s="16">
        <v>602.2399999999999</v>
      </c>
      <c r="AA87" s="16">
        <v>727</v>
      </c>
      <c r="AB87" s="703">
        <v>601.37</v>
      </c>
      <c r="AD87" t="s">
        <v>763</v>
      </c>
      <c r="AE87" s="16">
        <v>100</v>
      </c>
      <c r="AF87" s="285">
        <f t="shared" si="10"/>
        <v>97.016078650577043</v>
      </c>
      <c r="AG87" s="285">
        <f t="shared" si="11"/>
        <v>99.010291651596333</v>
      </c>
      <c r="AH87" s="285">
        <f t="shared" si="12"/>
        <v>119.52125735705124</v>
      </c>
      <c r="AI87" s="704">
        <f t="shared" si="13"/>
        <v>98.867260710880203</v>
      </c>
    </row>
    <row r="88" spans="1:40">
      <c r="A88" s="281" t="s">
        <v>257</v>
      </c>
      <c r="B88" s="281" t="s">
        <v>237</v>
      </c>
      <c r="C88" s="282">
        <v>3167000</v>
      </c>
      <c r="D88" s="282">
        <v>587</v>
      </c>
      <c r="E88" s="282">
        <v>8004</v>
      </c>
      <c r="F88" s="282">
        <v>2481</v>
      </c>
      <c r="G88" s="170"/>
      <c r="H88" t="s">
        <v>287</v>
      </c>
      <c r="I88" s="16">
        <v>7649.15</v>
      </c>
      <c r="J88" s="16">
        <v>7562.1400000000012</v>
      </c>
      <c r="K88" s="16">
        <v>7369.4</v>
      </c>
      <c r="L88" s="16">
        <v>7504.38</v>
      </c>
      <c r="M88" s="703">
        <v>7642.16</v>
      </c>
      <c r="N88" s="16"/>
      <c r="O88" t="s">
        <v>287</v>
      </c>
      <c r="P88" s="16">
        <v>100</v>
      </c>
      <c r="Q88" s="285">
        <f t="shared" si="6"/>
        <v>98.862487988861531</v>
      </c>
      <c r="R88" s="285">
        <f t="shared" si="7"/>
        <v>96.342730891667699</v>
      </c>
      <c r="S88" s="285">
        <f t="shared" si="8"/>
        <v>98.107371407280553</v>
      </c>
      <c r="T88" s="285">
        <f t="shared" si="9"/>
        <v>99.908617297346765</v>
      </c>
      <c r="W88" t="s">
        <v>287</v>
      </c>
      <c r="X88" s="16">
        <v>1460.99</v>
      </c>
      <c r="Y88" s="16">
        <v>1588.4</v>
      </c>
      <c r="Z88" s="16">
        <v>1508.3400000000001</v>
      </c>
      <c r="AA88" s="16">
        <v>1559</v>
      </c>
      <c r="AB88" s="703">
        <v>1603.9</v>
      </c>
      <c r="AD88" t="s">
        <v>287</v>
      </c>
      <c r="AE88" s="16">
        <v>100</v>
      </c>
      <c r="AF88" s="285">
        <f t="shared" si="10"/>
        <v>108.72079891032793</v>
      </c>
      <c r="AG88" s="285">
        <f t="shared" si="11"/>
        <v>103.2409530523823</v>
      </c>
      <c r="AH88" s="285">
        <f t="shared" si="12"/>
        <v>106.70846480810955</v>
      </c>
      <c r="AI88" s="704">
        <f t="shared" si="13"/>
        <v>109.78172335197367</v>
      </c>
    </row>
    <row r="89" spans="1:40">
      <c r="A89" s="281" t="s">
        <v>258</v>
      </c>
      <c r="B89" s="281" t="s">
        <v>238</v>
      </c>
      <c r="C89" s="282">
        <v>2709000</v>
      </c>
      <c r="D89" s="282">
        <v>471</v>
      </c>
      <c r="E89" s="282">
        <v>989</v>
      </c>
      <c r="F89" s="282">
        <v>428</v>
      </c>
      <c r="G89" s="170"/>
      <c r="H89" t="s">
        <v>509</v>
      </c>
      <c r="I89" s="16">
        <v>8755.25</v>
      </c>
      <c r="J89" s="16">
        <v>8290.89</v>
      </c>
      <c r="K89" s="16">
        <v>8124.5199999999995</v>
      </c>
      <c r="L89" s="16">
        <v>8195.8100000000013</v>
      </c>
      <c r="M89" s="703">
        <v>8425.9</v>
      </c>
      <c r="N89" s="16"/>
      <c r="O89" t="s">
        <v>509</v>
      </c>
      <c r="P89" s="16">
        <v>100</v>
      </c>
      <c r="Q89" s="285">
        <f t="shared" si="6"/>
        <v>94.696210844921609</v>
      </c>
      <c r="R89" s="285">
        <f t="shared" si="7"/>
        <v>92.795979555124063</v>
      </c>
      <c r="S89" s="285">
        <f t="shared" si="8"/>
        <v>93.6102338596842</v>
      </c>
      <c r="T89" s="285">
        <f t="shared" si="9"/>
        <v>96.238257045772542</v>
      </c>
      <c r="W89" t="s">
        <v>509</v>
      </c>
      <c r="X89" s="16">
        <v>2601.4199999999996</v>
      </c>
      <c r="Y89" s="16">
        <v>2408.85</v>
      </c>
      <c r="Z89" s="16">
        <v>2449.56</v>
      </c>
      <c r="AA89" s="16">
        <v>2443</v>
      </c>
      <c r="AB89" s="703">
        <v>2507.92</v>
      </c>
      <c r="AD89" t="s">
        <v>509</v>
      </c>
      <c r="AE89" s="16">
        <v>100</v>
      </c>
      <c r="AF89" s="285">
        <f t="shared" si="10"/>
        <v>92.59750443988284</v>
      </c>
      <c r="AG89" s="285">
        <f t="shared" si="11"/>
        <v>94.162418986553504</v>
      </c>
      <c r="AH89" s="285">
        <f t="shared" si="12"/>
        <v>93.910249017844123</v>
      </c>
      <c r="AI89" s="704">
        <f t="shared" si="13"/>
        <v>96.405809135010898</v>
      </c>
    </row>
    <row r="90" spans="1:40">
      <c r="A90" s="281" t="s">
        <v>259</v>
      </c>
      <c r="B90" s="281" t="s">
        <v>239</v>
      </c>
      <c r="C90" s="282">
        <v>2338000</v>
      </c>
      <c r="D90" s="282">
        <v>527</v>
      </c>
      <c r="E90" s="282">
        <v>710</v>
      </c>
      <c r="F90" s="282">
        <v>305</v>
      </c>
      <c r="G90" s="170"/>
      <c r="H90" t="s">
        <v>293</v>
      </c>
      <c r="I90" s="16">
        <v>5809.86</v>
      </c>
      <c r="J90" s="16">
        <v>5894.1100000000015</v>
      </c>
      <c r="K90" s="16">
        <v>6129.6500000000005</v>
      </c>
      <c r="L90" s="16">
        <v>6350.7999999999993</v>
      </c>
      <c r="M90" s="703">
        <v>6584.36</v>
      </c>
      <c r="N90" s="16"/>
      <c r="O90" t="s">
        <v>293</v>
      </c>
      <c r="P90" s="16">
        <v>100</v>
      </c>
      <c r="Q90" s="285">
        <f t="shared" si="6"/>
        <v>101.45012100119455</v>
      </c>
      <c r="R90" s="285">
        <f t="shared" si="7"/>
        <v>105.50426344180413</v>
      </c>
      <c r="S90" s="285">
        <f t="shared" si="8"/>
        <v>109.31072349419779</v>
      </c>
      <c r="T90" s="285">
        <f t="shared" si="9"/>
        <v>113.33078593976447</v>
      </c>
      <c r="W90" t="s">
        <v>293</v>
      </c>
      <c r="X90" s="16">
        <v>1474.4699999999998</v>
      </c>
      <c r="Y90" s="16">
        <v>1511.28</v>
      </c>
      <c r="Z90" s="16">
        <v>1689.8</v>
      </c>
      <c r="AA90" s="16">
        <v>1743</v>
      </c>
      <c r="AB90" s="703">
        <v>1818.3899999999999</v>
      </c>
      <c r="AD90" t="s">
        <v>293</v>
      </c>
      <c r="AE90" s="16">
        <v>100</v>
      </c>
      <c r="AF90" s="285">
        <f t="shared" si="10"/>
        <v>102.49649026429837</v>
      </c>
      <c r="AG90" s="285">
        <f t="shared" si="11"/>
        <v>114.60389156781761</v>
      </c>
      <c r="AH90" s="285">
        <f t="shared" si="12"/>
        <v>118.21196769008526</v>
      </c>
      <c r="AI90" s="704">
        <f t="shared" si="13"/>
        <v>123.32499135282508</v>
      </c>
    </row>
    <row r="91" spans="1:40">
      <c r="A91" s="281" t="s">
        <v>260</v>
      </c>
      <c r="B91" s="281" t="s">
        <v>240</v>
      </c>
      <c r="C91" s="282">
        <v>2824000</v>
      </c>
      <c r="D91" s="282">
        <v>291</v>
      </c>
      <c r="E91" s="282">
        <v>2214</v>
      </c>
      <c r="F91" s="282">
        <v>321</v>
      </c>
      <c r="G91" s="170"/>
      <c r="H91" t="s">
        <v>510</v>
      </c>
      <c r="I91" s="16">
        <v>6367.0499999999993</v>
      </c>
      <c r="J91" s="16">
        <v>6324.7100000000009</v>
      </c>
      <c r="K91" s="16">
        <v>6299.6600000000008</v>
      </c>
      <c r="L91" s="16">
        <v>6628.8399999999992</v>
      </c>
      <c r="M91" s="703">
        <v>7057.6799999999994</v>
      </c>
      <c r="N91" s="16"/>
      <c r="O91" t="s">
        <v>510</v>
      </c>
      <c r="P91" s="16">
        <v>100</v>
      </c>
      <c r="Q91" s="285">
        <f t="shared" si="6"/>
        <v>99.335013860422038</v>
      </c>
      <c r="R91" s="285">
        <f t="shared" si="7"/>
        <v>98.941582051342479</v>
      </c>
      <c r="S91" s="285">
        <f t="shared" si="8"/>
        <v>104.11163725744261</v>
      </c>
      <c r="T91" s="285">
        <f t="shared" si="9"/>
        <v>110.84693853511438</v>
      </c>
      <c r="W91" t="s">
        <v>510</v>
      </c>
      <c r="X91" s="16">
        <v>653.43000000000006</v>
      </c>
      <c r="Y91" s="16">
        <v>664.08999999999992</v>
      </c>
      <c r="Z91" s="16">
        <v>644.12000000000012</v>
      </c>
      <c r="AA91" s="16">
        <v>730</v>
      </c>
      <c r="AB91" s="703">
        <v>761.01999999999975</v>
      </c>
      <c r="AD91" t="s">
        <v>510</v>
      </c>
      <c r="AE91" s="16">
        <v>100</v>
      </c>
      <c r="AF91" s="285">
        <f t="shared" si="10"/>
        <v>101.63139127374008</v>
      </c>
      <c r="AG91" s="285">
        <f t="shared" si="11"/>
        <v>98.575210810645373</v>
      </c>
      <c r="AH91" s="285">
        <f t="shared" si="12"/>
        <v>111.718164149182</v>
      </c>
      <c r="AI91" s="704">
        <f t="shared" si="13"/>
        <v>116.46542093261706</v>
      </c>
    </row>
    <row r="92" spans="1:40">
      <c r="A92" s="281" t="s">
        <v>261</v>
      </c>
      <c r="B92" s="281" t="s">
        <v>241</v>
      </c>
      <c r="C92" s="282">
        <v>3656000</v>
      </c>
      <c r="D92" s="282">
        <v>811</v>
      </c>
      <c r="E92" s="282">
        <v>224</v>
      </c>
      <c r="F92" s="282">
        <v>86</v>
      </c>
      <c r="G92" s="170"/>
      <c r="H92" t="s">
        <v>290</v>
      </c>
      <c r="I92" s="16">
        <v>22476.82</v>
      </c>
      <c r="J92" s="16">
        <v>22096.899999999998</v>
      </c>
      <c r="K92" s="16">
        <v>21695.42</v>
      </c>
      <c r="L92" s="16">
        <v>22160.229999999996</v>
      </c>
      <c r="M92" s="703">
        <v>21780.82</v>
      </c>
      <c r="N92" s="16"/>
      <c r="O92" t="s">
        <v>290</v>
      </c>
      <c r="P92" s="16">
        <v>100</v>
      </c>
      <c r="Q92" s="285">
        <f t="shared" si="6"/>
        <v>98.309725308117422</v>
      </c>
      <c r="R92" s="285">
        <f t="shared" si="7"/>
        <v>96.523529574023371</v>
      </c>
      <c r="S92" s="285">
        <f t="shared" si="8"/>
        <v>98.591482247043828</v>
      </c>
      <c r="T92" s="285">
        <f t="shared" si="9"/>
        <v>96.903476559406528</v>
      </c>
      <c r="W92" t="s">
        <v>290</v>
      </c>
      <c r="X92" s="16">
        <v>8676.0400000000009</v>
      </c>
      <c r="Y92" s="16">
        <v>8816.5099999999984</v>
      </c>
      <c r="Z92" s="16">
        <v>8721.5199999999986</v>
      </c>
      <c r="AA92" s="16">
        <v>9025</v>
      </c>
      <c r="AB92" s="703">
        <v>8445.16</v>
      </c>
      <c r="AD92" t="s">
        <v>290</v>
      </c>
      <c r="AE92" s="16">
        <v>100</v>
      </c>
      <c r="AF92" s="285">
        <f t="shared" si="10"/>
        <v>101.61905662030139</v>
      </c>
      <c r="AG92" s="285">
        <f t="shared" si="11"/>
        <v>100.52420228583546</v>
      </c>
      <c r="AH92" s="285">
        <f t="shared" si="12"/>
        <v>104.02211147020989</v>
      </c>
      <c r="AI92" s="704">
        <f t="shared" si="13"/>
        <v>97.338878105679541</v>
      </c>
    </row>
    <row r="93" spans="1:40">
      <c r="A93" s="281" t="s">
        <v>262</v>
      </c>
      <c r="B93" s="281" t="s">
        <v>247</v>
      </c>
      <c r="C93" s="282">
        <v>2474000</v>
      </c>
      <c r="D93" s="282">
        <v>879</v>
      </c>
      <c r="E93" s="282">
        <v>541</v>
      </c>
      <c r="F93" s="282">
        <v>236</v>
      </c>
      <c r="G93" s="170"/>
      <c r="H93" t="s">
        <v>291</v>
      </c>
      <c r="I93" s="16">
        <v>18661.600000000002</v>
      </c>
      <c r="J93" s="16">
        <v>19307.340000000004</v>
      </c>
      <c r="K93" s="16">
        <v>18287.03</v>
      </c>
      <c r="L93" s="16">
        <v>19179.989999999998</v>
      </c>
      <c r="M93" s="703">
        <v>20126.11</v>
      </c>
      <c r="N93" s="16"/>
      <c r="O93" t="s">
        <v>291</v>
      </c>
      <c r="P93" s="16">
        <v>100</v>
      </c>
      <c r="Q93" s="285">
        <f t="shared" si="6"/>
        <v>103.4602606421743</v>
      </c>
      <c r="R93" s="285">
        <f t="shared" si="7"/>
        <v>97.99283019676767</v>
      </c>
      <c r="S93" s="285">
        <f t="shared" si="8"/>
        <v>102.77784327174517</v>
      </c>
      <c r="T93" s="285">
        <f t="shared" si="9"/>
        <v>107.84771938097481</v>
      </c>
      <c r="W93" t="s">
        <v>291</v>
      </c>
      <c r="X93" s="16">
        <v>4720.8100000000004</v>
      </c>
      <c r="Y93" s="16">
        <v>5158.2400000000007</v>
      </c>
      <c r="Z93" s="16">
        <v>4772.0099999999993</v>
      </c>
      <c r="AA93" s="16">
        <v>5328</v>
      </c>
      <c r="AB93" s="703">
        <v>5686.8600000000006</v>
      </c>
      <c r="AD93" t="s">
        <v>291</v>
      </c>
      <c r="AE93" s="16">
        <v>100</v>
      </c>
      <c r="AF93" s="285">
        <f t="shared" si="10"/>
        <v>109.26599460685773</v>
      </c>
      <c r="AG93" s="285">
        <f t="shared" si="11"/>
        <v>101.08455964124798</v>
      </c>
      <c r="AH93" s="285">
        <f t="shared" si="12"/>
        <v>112.86198766737063</v>
      </c>
      <c r="AI93" s="704">
        <f t="shared" si="13"/>
        <v>120.46364924663354</v>
      </c>
    </row>
    <row r="94" spans="1:40">
      <c r="A94" s="281" t="s">
        <v>263</v>
      </c>
      <c r="B94" s="281" t="s">
        <v>242</v>
      </c>
      <c r="C94" s="282">
        <v>3865000</v>
      </c>
      <c r="D94" s="282">
        <v>1601</v>
      </c>
      <c r="E94" s="282">
        <v>374</v>
      </c>
      <c r="F94" s="282">
        <v>182</v>
      </c>
      <c r="G94" s="170"/>
      <c r="M94" s="241"/>
      <c r="P94" s="16"/>
      <c r="Q94" s="285"/>
      <c r="R94" s="285"/>
      <c r="S94" s="285"/>
      <c r="T94" s="285"/>
      <c r="W94" s="16"/>
      <c r="X94" s="16"/>
      <c r="Y94" s="16"/>
      <c r="Z94" s="16"/>
      <c r="AA94" s="16"/>
      <c r="AB94" s="703"/>
      <c r="AC94" s="16"/>
      <c r="AD94" s="16"/>
      <c r="AE94" s="16"/>
      <c r="AF94" s="285"/>
      <c r="AG94" s="285"/>
      <c r="AH94" s="285"/>
      <c r="AI94" s="704"/>
    </row>
    <row r="95" spans="1:40">
      <c r="A95" s="281" t="s">
        <v>264</v>
      </c>
      <c r="B95" s="281" t="s">
        <v>243</v>
      </c>
      <c r="C95" s="282">
        <v>4557000</v>
      </c>
      <c r="D95" s="282">
        <v>955</v>
      </c>
      <c r="E95" s="282">
        <v>188</v>
      </c>
      <c r="F95" s="282">
        <v>78</v>
      </c>
      <c r="G95" s="170"/>
      <c r="H95" t="s">
        <v>1402</v>
      </c>
      <c r="I95" s="217">
        <v>22201.170000000002</v>
      </c>
      <c r="J95" s="217">
        <v>22784.73</v>
      </c>
      <c r="K95" s="217">
        <v>21646.17</v>
      </c>
      <c r="L95" s="217">
        <v>22669.7</v>
      </c>
      <c r="M95" s="705">
        <v>23683.58</v>
      </c>
      <c r="O95" s="818" t="s">
        <v>1402</v>
      </c>
      <c r="P95" s="16">
        <v>100</v>
      </c>
      <c r="Q95" s="285">
        <f t="shared" ref="Q95:Q103" si="14">(J95/$I95)*100</f>
        <v>102.62851011906129</v>
      </c>
      <c r="R95" s="285">
        <f t="shared" ref="R95:R103" si="15">(K95/$I95)*100</f>
        <v>97.500131749813164</v>
      </c>
      <c r="S95" s="285">
        <f t="shared" ref="S95:S103" si="16">(L95/$I95)*100</f>
        <v>102.11038427254057</v>
      </c>
      <c r="T95" s="285">
        <f t="shared" ref="T95:T103" si="17">(M95/$I95)*100</f>
        <v>106.67717061758457</v>
      </c>
      <c r="W95" s="818" t="s">
        <v>1402</v>
      </c>
      <c r="X95" s="217">
        <v>5090.46</v>
      </c>
      <c r="Y95" s="217">
        <v>5504.07</v>
      </c>
      <c r="Z95" s="217">
        <v>5143.58</v>
      </c>
      <c r="AA95" s="217">
        <v>5702.4400000000005</v>
      </c>
      <c r="AB95" s="705">
        <v>6091.7699999999995</v>
      </c>
      <c r="AD95" s="818" t="s">
        <v>1402</v>
      </c>
      <c r="AE95" s="16">
        <v>100</v>
      </c>
      <c r="AF95" s="285">
        <f t="shared" ref="AF95:AF103" si="18">(Y95/$X95)*100</f>
        <v>108.12519890147452</v>
      </c>
      <c r="AG95" s="285">
        <f t="shared" ref="AG95:AG103" si="19">(Z95/$X95)*100</f>
        <v>101.04352062485511</v>
      </c>
      <c r="AH95" s="285">
        <f t="shared" ref="AH95:AH103" si="20">(AA95/$X95)*100</f>
        <v>112.02209623491788</v>
      </c>
      <c r="AI95" s="704">
        <f t="shared" ref="AI95:AI103" si="21">(AB95/$X95)*100</f>
        <v>119.67032448933888</v>
      </c>
    </row>
    <row r="96" spans="1:40">
      <c r="A96" s="281" t="s">
        <v>265</v>
      </c>
      <c r="B96" s="281" t="s">
        <v>244</v>
      </c>
      <c r="C96" s="282">
        <v>2320000</v>
      </c>
      <c r="D96" s="282">
        <v>502</v>
      </c>
      <c r="E96" s="282">
        <v>492</v>
      </c>
      <c r="F96" s="282">
        <v>223</v>
      </c>
      <c r="G96" s="170"/>
      <c r="H96" t="s">
        <v>508</v>
      </c>
      <c r="I96" s="16">
        <v>7168.869999999999</v>
      </c>
      <c r="J96" s="16">
        <v>7135.7299999999977</v>
      </c>
      <c r="K96" s="16">
        <v>7134.7000000000007</v>
      </c>
      <c r="L96" s="16">
        <v>7500.53</v>
      </c>
      <c r="M96" s="703">
        <v>7655.1</v>
      </c>
      <c r="O96" s="818" t="s">
        <v>508</v>
      </c>
      <c r="P96" s="16">
        <v>100</v>
      </c>
      <c r="Q96" s="285">
        <f t="shared" si="14"/>
        <v>99.537723518490338</v>
      </c>
      <c r="R96" s="285">
        <f t="shared" si="15"/>
        <v>99.523355842692112</v>
      </c>
      <c r="S96" s="285">
        <f t="shared" si="16"/>
        <v>104.62639160704548</v>
      </c>
      <c r="T96" s="285">
        <f t="shared" si="17"/>
        <v>106.78251942077345</v>
      </c>
      <c r="V96" s="788"/>
      <c r="W96" s="818" t="s">
        <v>508</v>
      </c>
      <c r="X96" s="16">
        <v>1045.4100000000001</v>
      </c>
      <c r="Y96" s="16">
        <v>1072.3799999999999</v>
      </c>
      <c r="Z96" s="16">
        <v>1156.3300000000002</v>
      </c>
      <c r="AA96" s="16">
        <v>1244</v>
      </c>
      <c r="AB96" s="703">
        <v>1130.49</v>
      </c>
      <c r="AD96" s="818" t="s">
        <v>508</v>
      </c>
      <c r="AE96" s="16">
        <v>100</v>
      </c>
      <c r="AF96" s="285">
        <f t="shared" si="18"/>
        <v>102.57984905443796</v>
      </c>
      <c r="AG96" s="285">
        <f t="shared" si="19"/>
        <v>110.61019121684316</v>
      </c>
      <c r="AH96" s="285">
        <f t="shared" si="20"/>
        <v>118.99637462813632</v>
      </c>
      <c r="AI96" s="704">
        <f t="shared" si="21"/>
        <v>108.13843372456739</v>
      </c>
    </row>
    <row r="97" spans="1:35">
      <c r="A97" s="281" t="s">
        <v>266</v>
      </c>
      <c r="B97" s="281" t="s">
        <v>245</v>
      </c>
      <c r="C97" s="282">
        <v>3513000</v>
      </c>
      <c r="D97" s="282">
        <v>1040</v>
      </c>
      <c r="E97" s="282">
        <v>7853</v>
      </c>
      <c r="F97" s="282">
        <v>3032</v>
      </c>
      <c r="G97" s="170"/>
      <c r="H97" t="s">
        <v>1668</v>
      </c>
      <c r="I97" s="824">
        <v>12978.32</v>
      </c>
      <c r="J97" s="824">
        <v>13348.789999999999</v>
      </c>
      <c r="K97" s="824">
        <v>13359.130000000001</v>
      </c>
      <c r="L97" s="824">
        <v>13393.99</v>
      </c>
      <c r="M97" s="705">
        <v>13660.720000000003</v>
      </c>
      <c r="O97" s="818" t="s">
        <v>1668</v>
      </c>
      <c r="P97" s="16">
        <v>100</v>
      </c>
      <c r="Q97" s="285">
        <f t="shared" si="14"/>
        <v>102.85452970800534</v>
      </c>
      <c r="R97" s="285">
        <f t="shared" si="15"/>
        <v>102.93420103680602</v>
      </c>
      <c r="S97" s="285">
        <f t="shared" si="16"/>
        <v>103.20280282810101</v>
      </c>
      <c r="T97" s="285">
        <f t="shared" si="17"/>
        <v>105.25799949454169</v>
      </c>
      <c r="U97" s="16"/>
      <c r="V97" s="16"/>
      <c r="W97" s="818" t="s">
        <v>1668</v>
      </c>
      <c r="X97" s="825">
        <v>3990.49</v>
      </c>
      <c r="Y97" s="825">
        <v>4297.9599999999991</v>
      </c>
      <c r="Z97" s="825">
        <v>4398.9100000000008</v>
      </c>
      <c r="AA97" s="825">
        <v>4410.3999999999996</v>
      </c>
      <c r="AB97" s="705">
        <v>4476.5199999999995</v>
      </c>
      <c r="AD97" s="818" t="s">
        <v>1668</v>
      </c>
      <c r="AE97" s="16">
        <v>100</v>
      </c>
      <c r="AF97" s="285">
        <f t="shared" si="18"/>
        <v>107.70506880107453</v>
      </c>
      <c r="AG97" s="285">
        <f t="shared" si="19"/>
        <v>110.23483331620932</v>
      </c>
      <c r="AH97" s="285">
        <f t="shared" si="20"/>
        <v>110.52276788063622</v>
      </c>
      <c r="AI97" s="704">
        <f t="shared" si="21"/>
        <v>112.17970725399637</v>
      </c>
    </row>
    <row r="98" spans="1:35">
      <c r="A98" s="281" t="s">
        <v>267</v>
      </c>
      <c r="B98" s="281" t="s">
        <v>246</v>
      </c>
      <c r="C98" s="282">
        <v>2278000</v>
      </c>
      <c r="D98" s="282">
        <v>875</v>
      </c>
      <c r="E98" s="282">
        <v>1633</v>
      </c>
      <c r="F98" s="282">
        <v>908</v>
      </c>
      <c r="G98" s="170"/>
      <c r="H98" t="s">
        <v>1404</v>
      </c>
      <c r="I98" s="822">
        <v>8442.5499999999993</v>
      </c>
      <c r="J98" s="822">
        <v>8484.15</v>
      </c>
      <c r="K98" s="822">
        <v>8688.85</v>
      </c>
      <c r="L98" s="822">
        <v>8917.16</v>
      </c>
      <c r="M98" s="705">
        <v>9116.4500000000007</v>
      </c>
      <c r="O98" s="818" t="s">
        <v>1404</v>
      </c>
      <c r="P98" s="16">
        <v>100</v>
      </c>
      <c r="Q98" s="285">
        <f t="shared" si="14"/>
        <v>100.49274212175231</v>
      </c>
      <c r="R98" s="285">
        <f t="shared" si="15"/>
        <v>102.9173650141249</v>
      </c>
      <c r="S98" s="285">
        <f t="shared" si="16"/>
        <v>105.62164275011699</v>
      </c>
      <c r="T98" s="285">
        <f t="shared" si="17"/>
        <v>107.98218547713667</v>
      </c>
      <c r="W98" s="818" t="s">
        <v>1404</v>
      </c>
      <c r="X98" s="823">
        <v>1983.2100000000003</v>
      </c>
      <c r="Y98" s="823">
        <v>2019.9199999999998</v>
      </c>
      <c r="Z98" s="823">
        <v>2213.27</v>
      </c>
      <c r="AA98" s="823">
        <v>2276.5000000000005</v>
      </c>
      <c r="AB98" s="705">
        <v>2398.4500000000003</v>
      </c>
      <c r="AD98" s="818" t="s">
        <v>1404</v>
      </c>
      <c r="AE98" s="16">
        <v>100</v>
      </c>
      <c r="AF98" s="285">
        <f t="shared" si="18"/>
        <v>101.8510394764044</v>
      </c>
      <c r="AG98" s="285">
        <f t="shared" si="19"/>
        <v>111.60038523403975</v>
      </c>
      <c r="AH98" s="285">
        <f t="shared" si="20"/>
        <v>114.78865072281808</v>
      </c>
      <c r="AI98" s="704">
        <f t="shared" si="21"/>
        <v>120.93777260098526</v>
      </c>
    </row>
    <row r="99" spans="1:35">
      <c r="A99" s="283" t="s">
        <v>541</v>
      </c>
      <c r="B99" s="283" t="s">
        <v>1141</v>
      </c>
      <c r="C99" s="282">
        <v>198509000</v>
      </c>
      <c r="D99" s="284">
        <v>72941</v>
      </c>
      <c r="E99" s="284">
        <v>109743</v>
      </c>
      <c r="F99" s="284">
        <v>36612</v>
      </c>
      <c r="G99" s="172"/>
      <c r="H99" t="s">
        <v>1405</v>
      </c>
      <c r="I99" s="820">
        <v>7600.02</v>
      </c>
      <c r="J99" s="820">
        <v>7530.6600000000008</v>
      </c>
      <c r="K99" s="820">
        <v>7588.81</v>
      </c>
      <c r="L99" s="820">
        <v>7514.8</v>
      </c>
      <c r="M99" s="705">
        <v>7581.8700000000008</v>
      </c>
      <c r="O99" s="818" t="s">
        <v>1405</v>
      </c>
      <c r="P99" s="16">
        <v>100</v>
      </c>
      <c r="Q99" s="285">
        <f t="shared" si="14"/>
        <v>99.087370822708365</v>
      </c>
      <c r="R99" s="285">
        <f t="shared" si="15"/>
        <v>99.852500388156869</v>
      </c>
      <c r="S99" s="285">
        <f t="shared" si="16"/>
        <v>98.878687161349575</v>
      </c>
      <c r="T99" s="285">
        <f t="shared" si="17"/>
        <v>99.761184838987276</v>
      </c>
      <c r="W99" s="818" t="s">
        <v>1405</v>
      </c>
      <c r="X99" s="821">
        <v>1665.06</v>
      </c>
      <c r="Y99" s="821">
        <v>1782.06</v>
      </c>
      <c r="Z99" s="821">
        <v>1943.5600000000002</v>
      </c>
      <c r="AA99" s="821">
        <v>1822.51</v>
      </c>
      <c r="AB99" s="705">
        <v>1757.3300000000002</v>
      </c>
      <c r="AD99" s="818" t="s">
        <v>1405</v>
      </c>
      <c r="AE99" s="16">
        <v>100</v>
      </c>
      <c r="AF99" s="285">
        <f t="shared" si="18"/>
        <v>107.0267738099528</v>
      </c>
      <c r="AG99" s="285">
        <f t="shared" si="19"/>
        <v>116.72612398352014</v>
      </c>
      <c r="AH99" s="285">
        <f t="shared" si="20"/>
        <v>109.45611569553049</v>
      </c>
      <c r="AI99" s="704">
        <f t="shared" si="21"/>
        <v>105.54154204653288</v>
      </c>
    </row>
    <row r="100" spans="1:35">
      <c r="A100" s="283"/>
      <c r="B100" s="283"/>
      <c r="C100" s="282"/>
      <c r="D100" s="284"/>
      <c r="E100" s="284"/>
      <c r="F100" s="284"/>
      <c r="G100" s="172"/>
      <c r="H100" t="s">
        <v>1406</v>
      </c>
      <c r="I100" s="826">
        <v>14846.55</v>
      </c>
      <c r="J100" s="826">
        <v>14983.33</v>
      </c>
      <c r="K100" s="826">
        <v>14682.39</v>
      </c>
      <c r="L100" s="826">
        <v>15446.93</v>
      </c>
      <c r="M100" s="705">
        <v>15908.050000000003</v>
      </c>
      <c r="O100" s="818" t="s">
        <v>1406</v>
      </c>
      <c r="P100" s="16">
        <v>100</v>
      </c>
      <c r="Q100" s="285">
        <f t="shared" si="14"/>
        <v>100.92129147849165</v>
      </c>
      <c r="R100" s="285">
        <f t="shared" si="15"/>
        <v>98.894288572092506</v>
      </c>
      <c r="S100" s="285">
        <f t="shared" si="16"/>
        <v>104.04390245545262</v>
      </c>
      <c r="T100" s="285">
        <f t="shared" si="17"/>
        <v>107.14980921493549</v>
      </c>
      <c r="W100" s="818" t="s">
        <v>1406</v>
      </c>
      <c r="X100" s="827">
        <v>2036.12</v>
      </c>
      <c r="Y100" s="827">
        <v>2166.7199999999998</v>
      </c>
      <c r="Z100" s="827">
        <v>2338.0200000000004</v>
      </c>
      <c r="AA100" s="827">
        <v>2532.34</v>
      </c>
      <c r="AB100" s="705">
        <v>2628.88</v>
      </c>
      <c r="AD100" s="818" t="s">
        <v>1406</v>
      </c>
      <c r="AE100" s="16">
        <v>100</v>
      </c>
      <c r="AF100" s="285">
        <f t="shared" si="18"/>
        <v>106.4141602656032</v>
      </c>
      <c r="AG100" s="285">
        <f t="shared" si="19"/>
        <v>114.82722039958355</v>
      </c>
      <c r="AH100" s="285">
        <f t="shared" si="20"/>
        <v>124.37086222815945</v>
      </c>
      <c r="AI100" s="704">
        <f t="shared" si="21"/>
        <v>129.11223307074241</v>
      </c>
    </row>
    <row r="101" spans="1:35">
      <c r="A101" s="283"/>
      <c r="B101" s="283"/>
      <c r="C101" s="282"/>
      <c r="D101" s="284"/>
      <c r="E101" s="284"/>
      <c r="F101" s="284"/>
      <c r="G101" s="172"/>
      <c r="H101" t="s">
        <v>1407</v>
      </c>
      <c r="I101" s="819">
        <v>16404.39</v>
      </c>
      <c r="J101" s="819">
        <v>15853</v>
      </c>
      <c r="K101" s="819">
        <v>15493.91</v>
      </c>
      <c r="L101" s="819">
        <v>15700.2</v>
      </c>
      <c r="M101" s="705">
        <v>16072.599999999999</v>
      </c>
      <c r="O101" s="818" t="s">
        <v>1407</v>
      </c>
      <c r="P101" s="16">
        <v>100</v>
      </c>
      <c r="Q101" s="285">
        <f t="shared" si="14"/>
        <v>96.638765598720838</v>
      </c>
      <c r="R101" s="285">
        <f t="shared" si="15"/>
        <v>94.44977838249396</v>
      </c>
      <c r="S101" s="285">
        <f t="shared" si="16"/>
        <v>95.707307617046425</v>
      </c>
      <c r="T101" s="285">
        <f t="shared" si="17"/>
        <v>97.977431650917822</v>
      </c>
      <c r="W101" s="818" t="s">
        <v>1407</v>
      </c>
      <c r="X101" s="819">
        <v>4062.39</v>
      </c>
      <c r="Y101" s="819">
        <v>3997.2299999999996</v>
      </c>
      <c r="Z101" s="819">
        <v>3957.8700000000003</v>
      </c>
      <c r="AA101" s="819">
        <v>4004.1299999999997</v>
      </c>
      <c r="AB101" s="705">
        <v>4110.1000000000004</v>
      </c>
      <c r="AD101" s="818" t="s">
        <v>1407</v>
      </c>
      <c r="AE101" s="16">
        <v>100</v>
      </c>
      <c r="AF101" s="285">
        <f t="shared" si="18"/>
        <v>98.396018107567215</v>
      </c>
      <c r="AG101" s="285">
        <f t="shared" si="19"/>
        <v>97.427130334605991</v>
      </c>
      <c r="AH101" s="285">
        <f t="shared" si="20"/>
        <v>98.565868860449129</v>
      </c>
      <c r="AI101" s="704">
        <f t="shared" si="21"/>
        <v>101.17443179999952</v>
      </c>
    </row>
    <row r="102" spans="1:35">
      <c r="A102" s="283"/>
      <c r="B102" s="283"/>
      <c r="C102" s="282"/>
      <c r="D102" s="284"/>
      <c r="E102" s="284"/>
      <c r="F102" s="284"/>
      <c r="G102" s="172"/>
      <c r="H102" t="s">
        <v>510</v>
      </c>
      <c r="I102" s="16">
        <v>6367.0499999999993</v>
      </c>
      <c r="J102" s="16">
        <v>6324.7100000000009</v>
      </c>
      <c r="K102" s="16">
        <v>6299.6600000000008</v>
      </c>
      <c r="L102" s="16">
        <v>6628.8399999999992</v>
      </c>
      <c r="M102" s="703">
        <v>7057.6799999999994</v>
      </c>
      <c r="O102" s="818" t="s">
        <v>510</v>
      </c>
      <c r="P102" s="16">
        <v>100</v>
      </c>
      <c r="Q102" s="285">
        <f t="shared" si="14"/>
        <v>99.335013860422038</v>
      </c>
      <c r="R102" s="285">
        <f t="shared" si="15"/>
        <v>98.941582051342479</v>
      </c>
      <c r="S102" s="285">
        <f t="shared" si="16"/>
        <v>104.11163725744261</v>
      </c>
      <c r="T102" s="285">
        <f t="shared" si="17"/>
        <v>110.84693853511438</v>
      </c>
      <c r="W102" s="818" t="s">
        <v>510</v>
      </c>
      <c r="X102" s="16">
        <v>653.43000000000006</v>
      </c>
      <c r="Y102" s="16">
        <v>664.08999999999992</v>
      </c>
      <c r="Z102" s="16">
        <v>644.12000000000012</v>
      </c>
      <c r="AA102" s="16">
        <v>730</v>
      </c>
      <c r="AB102" s="703">
        <v>761.01999999999975</v>
      </c>
      <c r="AD102" s="818" t="s">
        <v>510</v>
      </c>
      <c r="AE102" s="16">
        <v>100</v>
      </c>
      <c r="AF102" s="285">
        <f t="shared" si="18"/>
        <v>101.63139127374008</v>
      </c>
      <c r="AG102" s="285">
        <f t="shared" si="19"/>
        <v>98.575210810645373</v>
      </c>
      <c r="AH102" s="285">
        <f t="shared" si="20"/>
        <v>111.718164149182</v>
      </c>
      <c r="AI102" s="704">
        <f t="shared" si="21"/>
        <v>116.46542093261706</v>
      </c>
    </row>
    <row r="103" spans="1:35">
      <c r="A103" s="283"/>
      <c r="B103" s="283"/>
      <c r="C103" s="282"/>
      <c r="D103" s="284"/>
      <c r="E103" s="284"/>
      <c r="F103" s="284"/>
      <c r="G103" s="172"/>
      <c r="H103" t="s">
        <v>290</v>
      </c>
      <c r="I103" s="16">
        <v>22476.82</v>
      </c>
      <c r="J103" s="16">
        <v>22096.899999999998</v>
      </c>
      <c r="K103" s="16">
        <v>21695.42</v>
      </c>
      <c r="L103" s="16">
        <v>22160.229999999996</v>
      </c>
      <c r="M103" s="703">
        <v>21780.82</v>
      </c>
      <c r="O103" s="818" t="s">
        <v>290</v>
      </c>
      <c r="P103" s="16">
        <v>100</v>
      </c>
      <c r="Q103" s="285">
        <f t="shared" si="14"/>
        <v>98.309725308117422</v>
      </c>
      <c r="R103" s="285">
        <f t="shared" si="15"/>
        <v>96.523529574023371</v>
      </c>
      <c r="S103" s="285">
        <f t="shared" si="16"/>
        <v>98.591482247043828</v>
      </c>
      <c r="T103" s="285">
        <f t="shared" si="17"/>
        <v>96.903476559406528</v>
      </c>
      <c r="W103" s="818" t="s">
        <v>290</v>
      </c>
      <c r="X103" s="16">
        <v>8676.0400000000009</v>
      </c>
      <c r="Y103" s="16">
        <v>8816.5099999999984</v>
      </c>
      <c r="Z103" s="16">
        <v>8721.5199999999986</v>
      </c>
      <c r="AA103" s="16">
        <v>9025</v>
      </c>
      <c r="AB103" s="703">
        <v>8445.16</v>
      </c>
      <c r="AD103" s="818" t="s">
        <v>290</v>
      </c>
      <c r="AE103" s="16">
        <v>100</v>
      </c>
      <c r="AF103" s="285">
        <f t="shared" si="18"/>
        <v>101.61905662030139</v>
      </c>
      <c r="AG103" s="285">
        <f t="shared" si="19"/>
        <v>100.52420228583546</v>
      </c>
      <c r="AH103" s="285">
        <f t="shared" si="20"/>
        <v>104.02211147020989</v>
      </c>
      <c r="AI103" s="704">
        <f t="shared" si="21"/>
        <v>97.338878105679541</v>
      </c>
    </row>
    <row r="104" spans="1:35">
      <c r="A104" s="283"/>
      <c r="B104" s="283"/>
      <c r="C104" s="282"/>
      <c r="D104" s="284"/>
      <c r="E104" s="284"/>
      <c r="F104" s="284"/>
      <c r="G104" s="172"/>
      <c r="H104" s="817"/>
    </row>
    <row r="105" spans="1:35">
      <c r="A105" s="283"/>
      <c r="B105" s="283"/>
      <c r="C105" s="282"/>
      <c r="D105" s="284"/>
      <c r="E105" s="284"/>
      <c r="F105" s="284"/>
      <c r="G105" s="172"/>
      <c r="H105" s="172"/>
    </row>
    <row r="106" spans="1:35">
      <c r="A106" s="283"/>
      <c r="B106" s="283"/>
      <c r="C106" s="282"/>
      <c r="D106" s="284"/>
      <c r="E106" s="284"/>
      <c r="F106" s="284"/>
      <c r="G106" s="172"/>
      <c r="H106" t="s">
        <v>1141</v>
      </c>
      <c r="I106" s="16">
        <v>202161.66</v>
      </c>
      <c r="J106" s="16">
        <v>201418.58000000002</v>
      </c>
      <c r="K106" s="16">
        <v>198509.37000000002</v>
      </c>
      <c r="L106" s="16">
        <v>202087.49</v>
      </c>
      <c r="M106" s="705">
        <v>200069.56</v>
      </c>
      <c r="N106" s="16"/>
      <c r="O106" t="s">
        <v>1141</v>
      </c>
      <c r="P106" s="16">
        <v>100</v>
      </c>
      <c r="Q106" s="285">
        <f>(J106/$I106)*100</f>
        <v>99.63243277681832</v>
      </c>
      <c r="R106" s="285">
        <f>(K106/$I106)*100</f>
        <v>98.193381475003733</v>
      </c>
      <c r="S106" s="285">
        <f>(L106/$I106)*100</f>
        <v>99.963311539883478</v>
      </c>
      <c r="T106" s="285">
        <f>(M106/$I106)*100</f>
        <v>98.965135129974698</v>
      </c>
      <c r="W106" t="s">
        <v>542</v>
      </c>
      <c r="X106" s="16">
        <v>70212.510000000009</v>
      </c>
      <c r="Y106" s="16">
        <v>73143.650000000009</v>
      </c>
      <c r="Z106" s="16">
        <v>72941.02</v>
      </c>
      <c r="AA106" s="16">
        <v>73783</v>
      </c>
      <c r="AB106" s="703">
        <v>69547.3</v>
      </c>
      <c r="AC106" s="16"/>
      <c r="AD106" t="s">
        <v>542</v>
      </c>
      <c r="AE106" s="16">
        <v>100</v>
      </c>
      <c r="AF106" s="285">
        <f>(Y106/$X106)*100</f>
        <v>104.17466915796058</v>
      </c>
      <c r="AG106" s="285">
        <f>(Z106/$X106)*100</f>
        <v>103.88607386347533</v>
      </c>
      <c r="AH106" s="285">
        <f>(AA106/$X106)*100</f>
        <v>105.08526187142434</v>
      </c>
      <c r="AI106" s="285">
        <f>(AB106/$X106)*100</f>
        <v>99.052576243179445</v>
      </c>
    </row>
    <row r="107" spans="1:35">
      <c r="A107" s="283"/>
      <c r="B107" s="283"/>
      <c r="C107" s="282"/>
      <c r="D107" s="284"/>
      <c r="E107" s="284"/>
      <c r="F107" s="284"/>
      <c r="G107" s="172"/>
      <c r="H107" s="172"/>
    </row>
    <row r="109" spans="1:35" s="192" customFormat="1">
      <c r="A109" s="192" t="s">
        <v>582</v>
      </c>
    </row>
    <row r="110" spans="1:35">
      <c r="A110" s="192" t="s">
        <v>1140</v>
      </c>
      <c r="B110" s="192"/>
      <c r="C110" s="192"/>
      <c r="D110" s="192"/>
    </row>
    <row r="111" spans="1:35">
      <c r="B111" s="171"/>
      <c r="C111" s="171">
        <v>2011</v>
      </c>
      <c r="H111" s="156">
        <v>2011</v>
      </c>
    </row>
    <row r="112" spans="1:35">
      <c r="B112" s="173"/>
      <c r="C112" s="174" t="s">
        <v>543</v>
      </c>
      <c r="E112" t="s">
        <v>552</v>
      </c>
    </row>
    <row r="113" spans="2:12" ht="76.5" customHeight="1">
      <c r="B113" s="175" t="s">
        <v>544</v>
      </c>
      <c r="C113" s="176" t="s">
        <v>545</v>
      </c>
      <c r="D113" s="1100" t="s">
        <v>553</v>
      </c>
      <c r="E113" s="1101"/>
      <c r="F113" s="190" t="s">
        <v>554</v>
      </c>
      <c r="G113" s="190" t="s">
        <v>555</v>
      </c>
      <c r="H113" s="176" t="s">
        <v>556</v>
      </c>
      <c r="I113" s="176" t="s">
        <v>557</v>
      </c>
      <c r="J113" s="55" t="s">
        <v>580</v>
      </c>
    </row>
    <row r="114" spans="2:12">
      <c r="B114" s="177" t="s">
        <v>506</v>
      </c>
      <c r="C114" s="184">
        <v>2547.1</v>
      </c>
      <c r="E114" s="178">
        <v>4.8</v>
      </c>
      <c r="F114" s="187">
        <v>25.4</v>
      </c>
      <c r="G114" s="187">
        <v>8.6999999999999993</v>
      </c>
      <c r="H114" s="184">
        <v>34.1</v>
      </c>
      <c r="I114" s="184">
        <v>4</v>
      </c>
      <c r="J114">
        <f t="shared" ref="J114:J123" si="22">RANK(H114,$H$114:$H$123,0)</f>
        <v>9</v>
      </c>
    </row>
    <row r="115" spans="2:12">
      <c r="B115" s="179" t="s">
        <v>74</v>
      </c>
      <c r="C115" s="185">
        <v>7409.2</v>
      </c>
      <c r="E115" s="180">
        <v>8.3000000000000007</v>
      </c>
      <c r="F115" s="188">
        <v>53.8</v>
      </c>
      <c r="G115" s="188">
        <v>11.1</v>
      </c>
      <c r="H115" s="185">
        <v>64.900000000000006</v>
      </c>
      <c r="I115" s="185">
        <v>5</v>
      </c>
      <c r="J115">
        <f t="shared" si="22"/>
        <v>3</v>
      </c>
    </row>
    <row r="116" spans="2:12">
      <c r="B116" s="179" t="s">
        <v>763</v>
      </c>
      <c r="C116" s="364">
        <v>1655.9</v>
      </c>
      <c r="D116" s="287"/>
      <c r="E116" s="363">
        <v>3.3</v>
      </c>
      <c r="F116" s="337">
        <v>15.2</v>
      </c>
      <c r="G116" s="337">
        <v>6.4</v>
      </c>
      <c r="H116" s="337">
        <v>21.6</v>
      </c>
      <c r="I116" s="337">
        <v>3</v>
      </c>
      <c r="J116">
        <f t="shared" si="22"/>
        <v>10</v>
      </c>
    </row>
    <row r="117" spans="2:12">
      <c r="B117" s="179" t="s">
        <v>508</v>
      </c>
      <c r="C117" s="185">
        <v>6614.6</v>
      </c>
      <c r="E117" s="180">
        <v>8.1</v>
      </c>
      <c r="F117" s="188">
        <v>46.3</v>
      </c>
      <c r="G117" s="188">
        <v>10.7</v>
      </c>
      <c r="H117" s="185">
        <v>57</v>
      </c>
      <c r="I117" s="185">
        <v>4</v>
      </c>
      <c r="J117">
        <f t="shared" si="22"/>
        <v>4</v>
      </c>
    </row>
    <row r="118" spans="2:12">
      <c r="B118" s="179" t="s">
        <v>546</v>
      </c>
      <c r="C118" s="185">
        <v>8007.4</v>
      </c>
      <c r="E118" s="180">
        <v>12.7</v>
      </c>
      <c r="F118" s="188">
        <v>48.7</v>
      </c>
      <c r="G118" s="188">
        <v>8.1</v>
      </c>
      <c r="H118" s="185">
        <v>56.7</v>
      </c>
      <c r="I118" s="185">
        <v>6</v>
      </c>
      <c r="J118">
        <f t="shared" si="22"/>
        <v>5</v>
      </c>
    </row>
    <row r="119" spans="2:12">
      <c r="B119" s="179" t="s">
        <v>509</v>
      </c>
      <c r="C119" s="185">
        <v>6017.5</v>
      </c>
      <c r="E119" s="180">
        <v>7.7</v>
      </c>
      <c r="F119" s="188">
        <v>38.700000000000003</v>
      </c>
      <c r="G119" s="188">
        <v>12</v>
      </c>
      <c r="H119" s="185">
        <v>50.8</v>
      </c>
      <c r="I119" s="185">
        <v>4</v>
      </c>
      <c r="J119">
        <f t="shared" si="22"/>
        <v>7</v>
      </c>
    </row>
    <row r="120" spans="2:12">
      <c r="B120" s="179" t="s">
        <v>547</v>
      </c>
      <c r="C120" s="185">
        <v>3726.2</v>
      </c>
      <c r="E120" s="180">
        <v>3.7</v>
      </c>
      <c r="F120" s="188">
        <v>32.200000000000003</v>
      </c>
      <c r="G120" s="188">
        <v>12.5</v>
      </c>
      <c r="H120" s="185">
        <v>44.7</v>
      </c>
      <c r="I120" s="185">
        <v>3</v>
      </c>
      <c r="J120">
        <f t="shared" si="22"/>
        <v>8</v>
      </c>
    </row>
    <row r="121" spans="2:12">
      <c r="B121" s="179" t="s">
        <v>510</v>
      </c>
      <c r="C121" s="185">
        <v>6048.2</v>
      </c>
      <c r="E121" s="180">
        <v>6.1</v>
      </c>
      <c r="F121" s="188">
        <v>40.799999999999997</v>
      </c>
      <c r="G121" s="188">
        <v>12.2</v>
      </c>
      <c r="H121" s="185">
        <v>53</v>
      </c>
      <c r="I121" s="185">
        <v>4</v>
      </c>
      <c r="J121">
        <f t="shared" si="22"/>
        <v>6</v>
      </c>
    </row>
    <row r="122" spans="2:12">
      <c r="B122" s="179" t="s">
        <v>548</v>
      </c>
      <c r="C122" s="185">
        <v>18071.900000000001</v>
      </c>
      <c r="E122" s="180">
        <v>12.9</v>
      </c>
      <c r="F122" s="188">
        <v>116</v>
      </c>
      <c r="G122" s="188">
        <v>24.3</v>
      </c>
      <c r="H122" s="185">
        <v>140.30000000000001</v>
      </c>
      <c r="I122" s="185">
        <v>7</v>
      </c>
      <c r="J122">
        <f t="shared" si="22"/>
        <v>2</v>
      </c>
    </row>
    <row r="123" spans="2:12">
      <c r="B123" s="181" t="s">
        <v>291</v>
      </c>
      <c r="C123" s="186">
        <v>17262.599999999999</v>
      </c>
      <c r="E123" s="182">
        <v>8.9</v>
      </c>
      <c r="F123" s="189">
        <v>118.9</v>
      </c>
      <c r="G123" s="189">
        <v>27.5</v>
      </c>
      <c r="H123" s="186">
        <v>146.5</v>
      </c>
      <c r="I123" s="186">
        <v>5</v>
      </c>
      <c r="J123">
        <f t="shared" si="22"/>
        <v>1</v>
      </c>
    </row>
    <row r="124" spans="2:12" s="228" customFormat="1">
      <c r="B124" s="295" t="s">
        <v>1141</v>
      </c>
      <c r="C124" s="296">
        <v>141242.79999999999</v>
      </c>
      <c r="E124" s="297">
        <v>7.2</v>
      </c>
      <c r="F124" s="191">
        <v>986</v>
      </c>
      <c r="G124" s="191">
        <v>324.5</v>
      </c>
      <c r="H124" s="296">
        <v>1310.4000000000001</v>
      </c>
      <c r="I124" s="296">
        <v>4</v>
      </c>
    </row>
    <row r="125" spans="2:12">
      <c r="B125" s="291"/>
      <c r="C125" s="292">
        <v>2011</v>
      </c>
      <c r="D125" s="156">
        <v>2011</v>
      </c>
      <c r="E125" s="293" t="s">
        <v>965</v>
      </c>
      <c r="F125" s="294"/>
      <c r="G125" s="294"/>
      <c r="H125" s="292"/>
      <c r="I125" s="292"/>
    </row>
    <row r="126" spans="2:12" ht="60">
      <c r="B126" t="s">
        <v>558</v>
      </c>
      <c r="C126" s="55" t="s">
        <v>966</v>
      </c>
      <c r="D126" s="55" t="s">
        <v>902</v>
      </c>
      <c r="E126" s="55" t="s">
        <v>967</v>
      </c>
      <c r="F126" s="55" t="s">
        <v>559</v>
      </c>
      <c r="I126" s="55"/>
      <c r="J126" s="55"/>
      <c r="K126" s="55"/>
      <c r="L126" s="55"/>
    </row>
    <row r="127" spans="2:12">
      <c r="B127" t="s">
        <v>560</v>
      </c>
      <c r="C127" s="16">
        <v>6147.3085415369396</v>
      </c>
      <c r="D127">
        <v>4.5999999999999996</v>
      </c>
      <c r="E127" s="21">
        <v>4.0205459620529362</v>
      </c>
      <c r="F127" s="16">
        <v>4989</v>
      </c>
    </row>
    <row r="128" spans="2:12">
      <c r="B128" t="s">
        <v>561</v>
      </c>
      <c r="C128" s="16">
        <v>2716</v>
      </c>
      <c r="D128">
        <v>10.9</v>
      </c>
      <c r="E128" s="21">
        <v>5.8</v>
      </c>
      <c r="F128" s="16">
        <v>2253</v>
      </c>
    </row>
    <row r="129" spans="2:6">
      <c r="B129" t="s">
        <v>562</v>
      </c>
      <c r="C129" s="16">
        <v>3431</v>
      </c>
      <c r="D129">
        <v>3.2</v>
      </c>
      <c r="E129" s="21">
        <v>2.6</v>
      </c>
      <c r="F129" s="16">
        <v>2737</v>
      </c>
    </row>
    <row r="130" spans="2:6">
      <c r="B130" t="s">
        <v>114</v>
      </c>
      <c r="C130" s="16">
        <v>22327.037964446699</v>
      </c>
      <c r="D130">
        <v>3.8</v>
      </c>
      <c r="E130" s="21">
        <v>6.7550889755138348</v>
      </c>
      <c r="F130" s="16">
        <v>17333</v>
      </c>
    </row>
    <row r="131" spans="2:6">
      <c r="B131" t="s">
        <v>563</v>
      </c>
      <c r="C131" s="16">
        <v>1986</v>
      </c>
      <c r="D131">
        <v>21.3</v>
      </c>
      <c r="E131" s="21">
        <v>2.8</v>
      </c>
      <c r="F131" s="16">
        <v>1698</v>
      </c>
    </row>
    <row r="132" spans="2:6">
      <c r="B132" t="s">
        <v>564</v>
      </c>
      <c r="C132" s="16">
        <v>3440</v>
      </c>
      <c r="D132">
        <v>10</v>
      </c>
      <c r="E132" s="21">
        <v>7.1</v>
      </c>
      <c r="F132" s="16">
        <v>2855</v>
      </c>
    </row>
    <row r="133" spans="2:6">
      <c r="B133" t="s">
        <v>565</v>
      </c>
      <c r="C133" s="16">
        <v>6190</v>
      </c>
      <c r="D133">
        <v>2.2999999999999998</v>
      </c>
      <c r="E133" s="21">
        <v>11</v>
      </c>
      <c r="F133" s="16">
        <v>4617</v>
      </c>
    </row>
    <row r="134" spans="2:6">
      <c r="B134" t="s">
        <v>2</v>
      </c>
      <c r="C134" s="16">
        <v>7312</v>
      </c>
      <c r="D134">
        <v>4.5</v>
      </c>
      <c r="E134" s="21">
        <v>7.1</v>
      </c>
      <c r="F134" s="16">
        <v>5593</v>
      </c>
    </row>
    <row r="135" spans="2:6">
      <c r="B135" t="s">
        <v>566</v>
      </c>
      <c r="C135" s="16">
        <v>3399</v>
      </c>
      <c r="D135">
        <v>3.1</v>
      </c>
      <c r="E135" s="21">
        <v>1.1000000000000001</v>
      </c>
      <c r="F135" s="16">
        <v>2570</v>
      </c>
    </row>
    <row r="136" spans="2:6">
      <c r="B136" t="s">
        <v>567</v>
      </c>
      <c r="C136" s="16">
        <v>8636.3277878599893</v>
      </c>
      <c r="D136">
        <v>6.6</v>
      </c>
      <c r="E136" s="21">
        <v>6.4245473063843326</v>
      </c>
      <c r="F136" s="16">
        <v>6990</v>
      </c>
    </row>
    <row r="137" spans="2:6">
      <c r="B137" t="s">
        <v>568</v>
      </c>
      <c r="C137" s="16">
        <v>5083</v>
      </c>
      <c r="D137">
        <v>11.8</v>
      </c>
      <c r="E137" s="21">
        <v>9.9</v>
      </c>
      <c r="F137" s="16">
        <v>4222</v>
      </c>
    </row>
    <row r="138" spans="2:6">
      <c r="B138" t="s">
        <v>569</v>
      </c>
      <c r="C138" s="16">
        <v>2020</v>
      </c>
      <c r="D138">
        <v>9.4</v>
      </c>
      <c r="E138" s="21">
        <v>1</v>
      </c>
      <c r="F138" s="16">
        <v>1718</v>
      </c>
    </row>
    <row r="139" spans="2:6">
      <c r="B139" t="s">
        <v>570</v>
      </c>
      <c r="C139" s="16">
        <v>1533</v>
      </c>
      <c r="D139">
        <v>2.2999999999999998</v>
      </c>
      <c r="E139" s="21">
        <v>2.9</v>
      </c>
      <c r="F139" s="16">
        <v>1049</v>
      </c>
    </row>
    <row r="140" spans="2:6">
      <c r="B140" s="183" t="s">
        <v>571</v>
      </c>
      <c r="C140" s="16">
        <v>2966.1421557981098</v>
      </c>
      <c r="D140">
        <v>2.7</v>
      </c>
      <c r="E140" s="21">
        <v>4.5693493292410432</v>
      </c>
      <c r="F140" s="16">
        <v>2275</v>
      </c>
    </row>
    <row r="141" spans="2:6">
      <c r="B141" t="s">
        <v>572</v>
      </c>
      <c r="C141" s="16">
        <v>13741.3464835999</v>
      </c>
      <c r="D141">
        <v>5.5</v>
      </c>
      <c r="E141" s="21">
        <v>7.4616066511256287</v>
      </c>
      <c r="F141" s="16">
        <v>11255</v>
      </c>
    </row>
    <row r="142" spans="2:6">
      <c r="B142" t="s">
        <v>573</v>
      </c>
      <c r="C142" s="16">
        <v>8376</v>
      </c>
      <c r="D142">
        <v>9.8000000000000007</v>
      </c>
      <c r="E142" s="21">
        <v>10.5</v>
      </c>
      <c r="F142" s="16">
        <v>6991</v>
      </c>
    </row>
    <row r="143" spans="2:6">
      <c r="B143" t="s">
        <v>574</v>
      </c>
      <c r="C143" s="16">
        <v>1421</v>
      </c>
      <c r="D143">
        <v>2.6</v>
      </c>
      <c r="E143" s="21">
        <v>9.8000000000000007</v>
      </c>
      <c r="F143" s="16">
        <v>1110</v>
      </c>
    </row>
    <row r="144" spans="2:6">
      <c r="B144" t="s">
        <v>575</v>
      </c>
      <c r="C144" s="16">
        <v>1351</v>
      </c>
      <c r="D144">
        <v>7.4</v>
      </c>
      <c r="E144" s="21">
        <v>-1</v>
      </c>
      <c r="F144" s="16">
        <v>1139</v>
      </c>
    </row>
    <row r="145" spans="1:27">
      <c r="B145" t="s">
        <v>576</v>
      </c>
      <c r="C145" s="16">
        <v>2592</v>
      </c>
      <c r="D145">
        <v>2.8</v>
      </c>
      <c r="E145" s="21">
        <v>1.8</v>
      </c>
      <c r="F145" s="16">
        <v>2015</v>
      </c>
    </row>
    <row r="146" spans="1:27">
      <c r="B146" t="s">
        <v>74</v>
      </c>
      <c r="C146" s="16">
        <v>53818.162933241634</v>
      </c>
      <c r="D146">
        <v>4.5</v>
      </c>
      <c r="E146" s="21">
        <v>6.4384877659750037</v>
      </c>
      <c r="F146" s="16">
        <v>42842</v>
      </c>
    </row>
    <row r="147" spans="1:27">
      <c r="A147" s="58" t="s">
        <v>581</v>
      </c>
      <c r="E147" s="168" t="s">
        <v>549</v>
      </c>
    </row>
    <row r="148" spans="1:27">
      <c r="A148" s="183" t="s">
        <v>577</v>
      </c>
    </row>
    <row r="149" spans="1:27">
      <c r="A149" s="183"/>
      <c r="E149" s="171" t="s">
        <v>550</v>
      </c>
    </row>
    <row r="150" spans="1:27">
      <c r="A150" s="183" t="s">
        <v>578</v>
      </c>
      <c r="E150" t="s">
        <v>551</v>
      </c>
    </row>
    <row r="151" spans="1:27">
      <c r="A151" s="183" t="s">
        <v>579</v>
      </c>
    </row>
    <row r="154" spans="1:27">
      <c r="G154" s="18"/>
      <c r="H154" s="18"/>
      <c r="I154" s="18"/>
      <c r="J154" s="18"/>
    </row>
    <row r="156" spans="1:27" s="289" customFormat="1">
      <c r="G156" s="290" t="s">
        <v>964</v>
      </c>
    </row>
    <row r="158" spans="1:27" s="55" customFormat="1" ht="75">
      <c r="B158" s="55" t="s">
        <v>1436</v>
      </c>
      <c r="C158" s="55" t="s">
        <v>560</v>
      </c>
      <c r="D158" s="55" t="s">
        <v>561</v>
      </c>
      <c r="E158" s="55" t="s">
        <v>562</v>
      </c>
      <c r="F158" s="55" t="s">
        <v>114</v>
      </c>
      <c r="G158" s="55" t="s">
        <v>563</v>
      </c>
      <c r="H158" s="55" t="s">
        <v>564</v>
      </c>
      <c r="I158" s="55" t="s">
        <v>565</v>
      </c>
      <c r="J158" s="55" t="s">
        <v>2</v>
      </c>
      <c r="K158" s="55" t="s">
        <v>566</v>
      </c>
      <c r="L158" s="55" t="s">
        <v>567</v>
      </c>
      <c r="M158" s="55" t="s">
        <v>568</v>
      </c>
      <c r="N158" s="55" t="s">
        <v>569</v>
      </c>
      <c r="O158" s="55" t="s">
        <v>570</v>
      </c>
      <c r="P158" s="55" t="s">
        <v>571</v>
      </c>
      <c r="Q158" s="55" t="s">
        <v>572</v>
      </c>
      <c r="R158" s="55" t="s">
        <v>573</v>
      </c>
      <c r="S158" s="55" t="s">
        <v>574</v>
      </c>
      <c r="T158" s="55" t="s">
        <v>575</v>
      </c>
      <c r="U158" s="55" t="s">
        <v>74</v>
      </c>
      <c r="V158" s="55" t="s">
        <v>912</v>
      </c>
      <c r="W158" s="55" t="s">
        <v>913</v>
      </c>
      <c r="X158" s="55" t="s">
        <v>914</v>
      </c>
      <c r="Y158" s="55" t="s">
        <v>915</v>
      </c>
    </row>
    <row r="159" spans="1:27" s="287" customFormat="1">
      <c r="A159" s="286">
        <f>Z159/$Z$170</f>
        <v>7.2851062652230139E-2</v>
      </c>
      <c r="B159" s="287" t="s">
        <v>948</v>
      </c>
      <c r="C159" s="287">
        <v>22624</v>
      </c>
      <c r="D159" s="287">
        <v>11139</v>
      </c>
      <c r="E159" s="287">
        <v>11486</v>
      </c>
      <c r="F159" s="287">
        <v>72501</v>
      </c>
      <c r="G159" s="287">
        <v>4333</v>
      </c>
      <c r="H159" s="287">
        <v>9125</v>
      </c>
      <c r="I159" s="287">
        <v>19074</v>
      </c>
      <c r="J159" s="287">
        <v>34593</v>
      </c>
      <c r="K159" s="287">
        <v>5354</v>
      </c>
      <c r="L159" s="287">
        <v>14485</v>
      </c>
      <c r="M159" s="287">
        <v>10995</v>
      </c>
      <c r="N159" s="287">
        <v>1425</v>
      </c>
      <c r="O159" s="287">
        <v>2066</v>
      </c>
      <c r="P159" s="287">
        <v>3835</v>
      </c>
      <c r="Q159" s="287">
        <v>39346</v>
      </c>
      <c r="R159" s="287">
        <v>25720</v>
      </c>
      <c r="S159" s="287">
        <v>2888</v>
      </c>
      <c r="T159" s="287" t="s">
        <v>1433</v>
      </c>
      <c r="U159" s="287">
        <v>152795</v>
      </c>
      <c r="V159" s="287">
        <v>50198</v>
      </c>
      <c r="W159" s="287">
        <v>102599</v>
      </c>
      <c r="X159" s="287">
        <v>8927</v>
      </c>
      <c r="Y159" s="287">
        <v>30420</v>
      </c>
      <c r="Z159" s="287">
        <v>589704</v>
      </c>
      <c r="AA159" s="288"/>
    </row>
    <row r="160" spans="1:27" s="287" customFormat="1">
      <c r="A160" s="286">
        <f t="shared" ref="A160:A169" si="23">Z160/$Z$170</f>
        <v>7.6728437491815585E-2</v>
      </c>
      <c r="B160" s="287" t="s">
        <v>949</v>
      </c>
      <c r="C160" s="287">
        <v>32369</v>
      </c>
      <c r="D160" s="287">
        <v>23222</v>
      </c>
      <c r="E160" s="287">
        <v>9147</v>
      </c>
      <c r="F160" s="287">
        <v>67783</v>
      </c>
      <c r="G160" s="287">
        <v>1933</v>
      </c>
      <c r="H160" s="287">
        <v>8044</v>
      </c>
      <c r="I160" s="287">
        <v>23192</v>
      </c>
      <c r="J160" s="287">
        <v>27318</v>
      </c>
      <c r="K160" s="287">
        <v>7266</v>
      </c>
      <c r="L160" s="287">
        <v>14042</v>
      </c>
      <c r="M160" s="287">
        <v>8864</v>
      </c>
      <c r="N160" s="287">
        <v>2048</v>
      </c>
      <c r="O160" s="287">
        <v>3129</v>
      </c>
      <c r="P160" s="287">
        <v>3974</v>
      </c>
      <c r="Q160" s="287">
        <v>37768</v>
      </c>
      <c r="R160" s="287">
        <v>26534</v>
      </c>
      <c r="S160" s="287">
        <v>3459</v>
      </c>
      <c r="T160" s="287" t="s">
        <v>1433</v>
      </c>
      <c r="U160" s="287">
        <v>155935</v>
      </c>
      <c r="V160" s="287">
        <v>45401</v>
      </c>
      <c r="W160" s="287">
        <v>110534</v>
      </c>
      <c r="X160" s="287">
        <v>7910</v>
      </c>
      <c r="Y160" s="287">
        <v>29859</v>
      </c>
      <c r="Z160" s="287">
        <v>621090</v>
      </c>
      <c r="AA160" s="288"/>
    </row>
    <row r="161" spans="1:27" s="287" customFormat="1">
      <c r="A161" s="286">
        <f t="shared" si="23"/>
        <v>0.17407876212590734</v>
      </c>
      <c r="B161" s="287" t="s">
        <v>950</v>
      </c>
      <c r="C161" s="287">
        <v>34575</v>
      </c>
      <c r="D161" s="287">
        <v>16287</v>
      </c>
      <c r="E161" s="287">
        <v>18288</v>
      </c>
      <c r="F161" s="287">
        <v>151057</v>
      </c>
      <c r="G161" s="287">
        <v>1695</v>
      </c>
      <c r="H161" s="287">
        <v>13209</v>
      </c>
      <c r="I161" s="287">
        <v>34486</v>
      </c>
      <c r="J161" s="287">
        <v>94079</v>
      </c>
      <c r="K161" s="287">
        <v>7546</v>
      </c>
      <c r="L161" s="287">
        <v>24866</v>
      </c>
      <c r="M161" s="287">
        <v>14911</v>
      </c>
      <c r="N161" s="287">
        <v>4445</v>
      </c>
      <c r="O161" s="287">
        <v>5508</v>
      </c>
      <c r="P161" s="287">
        <v>8355</v>
      </c>
      <c r="Q161" s="287">
        <v>102671</v>
      </c>
      <c r="R161" s="287">
        <v>77050</v>
      </c>
      <c r="S161" s="287">
        <v>5407</v>
      </c>
      <c r="T161" s="287" t="s">
        <v>1433</v>
      </c>
      <c r="U161" s="287">
        <v>321523</v>
      </c>
      <c r="V161" s="287">
        <v>106902</v>
      </c>
      <c r="W161" s="287">
        <v>214622</v>
      </c>
      <c r="X161" s="287">
        <v>18685</v>
      </c>
      <c r="Y161" s="287">
        <v>83986</v>
      </c>
      <c r="Z161" s="287">
        <v>1409107</v>
      </c>
      <c r="AA161" s="288"/>
    </row>
    <row r="162" spans="1:27">
      <c r="A162" s="57">
        <f t="shared" si="23"/>
        <v>3.9691267765433275E-2</v>
      </c>
      <c r="B162" t="s">
        <v>951</v>
      </c>
      <c r="C162">
        <v>9311</v>
      </c>
      <c r="D162">
        <v>4934</v>
      </c>
      <c r="E162">
        <v>4381</v>
      </c>
      <c r="F162">
        <v>37261</v>
      </c>
      <c r="G162" t="s">
        <v>1433</v>
      </c>
      <c r="H162">
        <v>3762</v>
      </c>
      <c r="I162">
        <v>8941</v>
      </c>
      <c r="J162">
        <v>21825</v>
      </c>
      <c r="K162">
        <v>2287</v>
      </c>
      <c r="L162">
        <v>3937</v>
      </c>
      <c r="M162">
        <v>2337</v>
      </c>
      <c r="N162">
        <v>709</v>
      </c>
      <c r="O162">
        <v>893</v>
      </c>
      <c r="P162">
        <v>2333</v>
      </c>
      <c r="Q162">
        <v>15937</v>
      </c>
      <c r="R162">
        <v>11118</v>
      </c>
      <c r="S162">
        <v>808</v>
      </c>
      <c r="T162" t="s">
        <v>1433</v>
      </c>
      <c r="U162">
        <v>68779</v>
      </c>
      <c r="V162">
        <v>17665</v>
      </c>
      <c r="W162">
        <v>51118</v>
      </c>
      <c r="X162">
        <v>3935</v>
      </c>
      <c r="Y162">
        <v>11999</v>
      </c>
      <c r="Z162">
        <v>321287</v>
      </c>
      <c r="AA162" s="288"/>
    </row>
    <row r="163" spans="1:27">
      <c r="A163" s="57">
        <f t="shared" si="23"/>
        <v>4.0981749431600024E-2</v>
      </c>
      <c r="B163" t="s">
        <v>952</v>
      </c>
      <c r="C163">
        <v>12384</v>
      </c>
      <c r="D163">
        <v>6434</v>
      </c>
      <c r="E163">
        <v>5950</v>
      </c>
      <c r="F163">
        <v>31566</v>
      </c>
      <c r="G163" t="s">
        <v>1433</v>
      </c>
      <c r="H163">
        <v>2453</v>
      </c>
      <c r="I163">
        <v>10048</v>
      </c>
      <c r="J163">
        <v>15117</v>
      </c>
      <c r="K163">
        <v>3296</v>
      </c>
      <c r="L163">
        <v>8109</v>
      </c>
      <c r="M163">
        <v>3552</v>
      </c>
      <c r="N163">
        <v>1133</v>
      </c>
      <c r="O163">
        <v>3417</v>
      </c>
      <c r="P163">
        <v>2693</v>
      </c>
      <c r="Q163">
        <v>15600</v>
      </c>
      <c r="R163">
        <v>10037</v>
      </c>
      <c r="S163">
        <v>1261</v>
      </c>
      <c r="T163" t="s">
        <v>1433</v>
      </c>
      <c r="U163">
        <v>70350</v>
      </c>
      <c r="V163">
        <v>16694</v>
      </c>
      <c r="W163">
        <v>53654</v>
      </c>
      <c r="X163">
        <v>4299</v>
      </c>
      <c r="Y163">
        <v>11299</v>
      </c>
      <c r="Z163">
        <v>331733</v>
      </c>
      <c r="AA163" s="288"/>
    </row>
    <row r="164" spans="1:27" s="287" customFormat="1">
      <c r="A164" s="286">
        <f t="shared" si="23"/>
        <v>0.19783839997074612</v>
      </c>
      <c r="B164" s="287" t="s">
        <v>953</v>
      </c>
      <c r="C164" s="287">
        <v>59895</v>
      </c>
      <c r="D164" s="287">
        <v>29081</v>
      </c>
      <c r="E164" s="287">
        <v>30811</v>
      </c>
      <c r="F164" s="287">
        <v>156100</v>
      </c>
      <c r="G164" s="287">
        <v>1894</v>
      </c>
      <c r="H164" s="287">
        <v>15736</v>
      </c>
      <c r="I164" s="287">
        <v>42960</v>
      </c>
      <c r="J164" s="287">
        <v>80573</v>
      </c>
      <c r="K164" s="287">
        <v>14909</v>
      </c>
      <c r="L164" s="287">
        <v>15727</v>
      </c>
      <c r="M164" s="287">
        <v>10026</v>
      </c>
      <c r="N164" s="287">
        <v>2058</v>
      </c>
      <c r="O164" s="287">
        <v>3641</v>
      </c>
      <c r="P164" s="287">
        <v>7350</v>
      </c>
      <c r="Q164" s="287">
        <v>103923</v>
      </c>
      <c r="R164" s="287">
        <v>84907</v>
      </c>
      <c r="S164" s="287">
        <v>3694</v>
      </c>
      <c r="T164" s="287" t="s">
        <v>1433</v>
      </c>
      <c r="U164" s="287">
        <v>342993</v>
      </c>
      <c r="V164" s="287">
        <v>112591</v>
      </c>
      <c r="W164" s="287">
        <v>230402</v>
      </c>
      <c r="X164" s="287">
        <v>14507</v>
      </c>
      <c r="Y164" s="287">
        <v>89416</v>
      </c>
      <c r="Z164" s="287">
        <v>1601433</v>
      </c>
      <c r="AA164" s="288"/>
    </row>
    <row r="165" spans="1:27">
      <c r="A165" s="57">
        <f t="shared" si="23"/>
        <v>5.3559807141801773E-2</v>
      </c>
      <c r="B165" t="s">
        <v>954</v>
      </c>
      <c r="C165">
        <v>13862</v>
      </c>
      <c r="D165">
        <v>6533</v>
      </c>
      <c r="E165">
        <v>7328</v>
      </c>
      <c r="F165">
        <v>54298</v>
      </c>
      <c r="G165">
        <v>1771</v>
      </c>
      <c r="H165">
        <v>7310</v>
      </c>
      <c r="I165">
        <v>13662</v>
      </c>
      <c r="J165">
        <v>27154</v>
      </c>
      <c r="K165">
        <v>4383</v>
      </c>
      <c r="L165">
        <v>8936</v>
      </c>
      <c r="M165">
        <v>6636</v>
      </c>
      <c r="N165">
        <v>1066</v>
      </c>
      <c r="O165">
        <v>1231</v>
      </c>
      <c r="P165">
        <v>2582</v>
      </c>
      <c r="Q165">
        <v>36700</v>
      </c>
      <c r="R165">
        <v>28737</v>
      </c>
      <c r="S165">
        <v>2230</v>
      </c>
      <c r="T165" t="s">
        <v>1433</v>
      </c>
      <c r="U165">
        <v>116372</v>
      </c>
      <c r="V165">
        <v>44474</v>
      </c>
      <c r="W165">
        <v>71899</v>
      </c>
      <c r="X165">
        <v>5235</v>
      </c>
      <c r="Y165">
        <v>31465</v>
      </c>
      <c r="Z165">
        <v>433548</v>
      </c>
      <c r="AA165" s="288"/>
    </row>
    <row r="166" spans="1:27">
      <c r="A166" s="57">
        <f t="shared" si="23"/>
        <v>0.13090951902564804</v>
      </c>
      <c r="B166" t="s">
        <v>955</v>
      </c>
      <c r="C166">
        <v>26783</v>
      </c>
      <c r="D166">
        <v>12861</v>
      </c>
      <c r="E166">
        <v>12943</v>
      </c>
      <c r="F166">
        <v>151215</v>
      </c>
      <c r="G166" t="s">
        <v>1434</v>
      </c>
      <c r="H166">
        <v>14343</v>
      </c>
      <c r="I166">
        <v>50478</v>
      </c>
      <c r="J166">
        <v>72620</v>
      </c>
      <c r="K166">
        <v>10056</v>
      </c>
      <c r="L166">
        <v>18050</v>
      </c>
      <c r="M166">
        <v>11383</v>
      </c>
      <c r="N166">
        <v>2733</v>
      </c>
      <c r="O166">
        <v>3424</v>
      </c>
      <c r="P166">
        <v>6168</v>
      </c>
      <c r="Q166">
        <v>88917</v>
      </c>
      <c r="R166">
        <v>71256</v>
      </c>
      <c r="S166">
        <v>2803</v>
      </c>
      <c r="T166" t="s">
        <v>1434</v>
      </c>
      <c r="U166">
        <v>292029</v>
      </c>
      <c r="V166">
        <v>99929</v>
      </c>
      <c r="W166">
        <v>192096</v>
      </c>
      <c r="X166">
        <v>14018</v>
      </c>
      <c r="Y166">
        <v>74900</v>
      </c>
      <c r="Z166">
        <v>1059667</v>
      </c>
      <c r="AA166" s="288"/>
    </row>
    <row r="167" spans="1:27" s="287" customFormat="1">
      <c r="A167" s="286">
        <f t="shared" si="23"/>
        <v>0.12727477351713204</v>
      </c>
      <c r="B167" s="287" t="s">
        <v>956</v>
      </c>
      <c r="C167" s="287">
        <v>40088</v>
      </c>
      <c r="D167" s="287">
        <v>22472</v>
      </c>
      <c r="E167" s="287">
        <v>17618</v>
      </c>
      <c r="F167" s="287">
        <v>130514</v>
      </c>
      <c r="G167" s="287" t="s">
        <v>1433</v>
      </c>
      <c r="H167" s="287">
        <v>6428</v>
      </c>
      <c r="I167" s="287">
        <v>32099</v>
      </c>
      <c r="J167" s="287">
        <v>76132</v>
      </c>
      <c r="K167" s="287">
        <v>15195</v>
      </c>
      <c r="L167" s="287">
        <v>7249</v>
      </c>
      <c r="M167" s="287">
        <v>4683</v>
      </c>
      <c r="N167" s="287">
        <v>1213</v>
      </c>
      <c r="O167" s="287">
        <v>1352</v>
      </c>
      <c r="P167" s="287">
        <v>4221</v>
      </c>
      <c r="Q167" s="287">
        <v>45927</v>
      </c>
      <c r="R167" s="287">
        <v>32300</v>
      </c>
      <c r="S167" s="287">
        <v>1725</v>
      </c>
      <c r="T167" s="287" t="s">
        <v>1433</v>
      </c>
      <c r="U167" s="287">
        <v>228001</v>
      </c>
      <c r="V167" s="287">
        <v>44070</v>
      </c>
      <c r="W167" s="287">
        <v>183931</v>
      </c>
      <c r="X167" s="287">
        <v>10390</v>
      </c>
      <c r="Y167" s="287">
        <v>35537</v>
      </c>
      <c r="Z167" s="287">
        <v>1030245</v>
      </c>
      <c r="AA167" s="288"/>
    </row>
    <row r="168" spans="1:27">
      <c r="A168" s="57">
        <f t="shared" si="23"/>
        <v>7.4065321152780875E-2</v>
      </c>
      <c r="B168" t="s">
        <v>957</v>
      </c>
      <c r="C168">
        <v>16718</v>
      </c>
      <c r="D168">
        <v>10640</v>
      </c>
      <c r="E168">
        <v>6078</v>
      </c>
      <c r="F168">
        <v>82530</v>
      </c>
      <c r="G168" t="s">
        <v>1433</v>
      </c>
      <c r="H168">
        <v>2594</v>
      </c>
      <c r="I168">
        <v>16025</v>
      </c>
      <c r="J168">
        <v>58019</v>
      </c>
      <c r="K168">
        <v>5331</v>
      </c>
      <c r="L168">
        <v>4009</v>
      </c>
      <c r="M168">
        <v>2395</v>
      </c>
      <c r="N168">
        <v>858</v>
      </c>
      <c r="O168">
        <v>759</v>
      </c>
      <c r="P168">
        <v>1644</v>
      </c>
      <c r="Q168">
        <v>20524</v>
      </c>
      <c r="R168">
        <v>14856</v>
      </c>
      <c r="S168">
        <v>973</v>
      </c>
      <c r="T168" t="s">
        <v>1433</v>
      </c>
      <c r="U168">
        <v>125428</v>
      </c>
      <c r="V168">
        <v>20406</v>
      </c>
      <c r="W168">
        <v>105022</v>
      </c>
      <c r="X168">
        <v>4117</v>
      </c>
      <c r="Y168">
        <v>16405</v>
      </c>
      <c r="Z168">
        <v>599533</v>
      </c>
      <c r="AA168" s="288"/>
    </row>
    <row r="169" spans="1:27">
      <c r="A169" s="57">
        <f t="shared" si="23"/>
        <v>1.2020899724904789E-2</v>
      </c>
      <c r="B169" t="s">
        <v>958</v>
      </c>
      <c r="C169">
        <v>1680</v>
      </c>
      <c r="D169">
        <v>556</v>
      </c>
      <c r="E169">
        <v>1112</v>
      </c>
      <c r="F169">
        <v>13471</v>
      </c>
      <c r="G169" t="s">
        <v>1433</v>
      </c>
      <c r="H169">
        <v>554</v>
      </c>
      <c r="I169">
        <v>4568</v>
      </c>
      <c r="J169">
        <v>7790</v>
      </c>
      <c r="K169">
        <v>519</v>
      </c>
      <c r="L169">
        <v>815</v>
      </c>
      <c r="M169">
        <v>407</v>
      </c>
      <c r="N169">
        <v>240</v>
      </c>
      <c r="O169" t="s">
        <v>1433</v>
      </c>
      <c r="P169">
        <v>730</v>
      </c>
      <c r="Q169">
        <v>4797</v>
      </c>
      <c r="R169">
        <v>3116</v>
      </c>
      <c r="S169" t="s">
        <v>1433</v>
      </c>
      <c r="T169" t="s">
        <v>1433</v>
      </c>
      <c r="U169">
        <v>21493</v>
      </c>
      <c r="V169">
        <v>4121</v>
      </c>
      <c r="W169">
        <v>17373</v>
      </c>
      <c r="X169">
        <v>1536</v>
      </c>
      <c r="Y169">
        <v>3262</v>
      </c>
      <c r="Z169">
        <v>97305</v>
      </c>
      <c r="AA169" s="288"/>
    </row>
    <row r="170" spans="1:27">
      <c r="B170" t="s">
        <v>959</v>
      </c>
      <c r="C170">
        <f>SUM(C159:C169)</f>
        <v>270289</v>
      </c>
      <c r="D170">
        <f t="shared" ref="D170:Z170" si="24">SUM(D159:D169)</f>
        <v>144159</v>
      </c>
      <c r="E170">
        <f t="shared" si="24"/>
        <v>125142</v>
      </c>
      <c r="F170">
        <f t="shared" si="24"/>
        <v>948296</v>
      </c>
      <c r="G170">
        <f t="shared" si="24"/>
        <v>11626</v>
      </c>
      <c r="H170">
        <f t="shared" si="24"/>
        <v>83558</v>
      </c>
      <c r="I170">
        <f t="shared" si="24"/>
        <v>255533</v>
      </c>
      <c r="J170">
        <f t="shared" si="24"/>
        <v>515220</v>
      </c>
      <c r="K170">
        <f t="shared" si="24"/>
        <v>76142</v>
      </c>
      <c r="L170">
        <f t="shared" si="24"/>
        <v>120225</v>
      </c>
      <c r="M170">
        <f t="shared" si="24"/>
        <v>76189</v>
      </c>
      <c r="N170">
        <f t="shared" si="24"/>
        <v>17928</v>
      </c>
      <c r="O170">
        <f t="shared" si="24"/>
        <v>25420</v>
      </c>
      <c r="P170">
        <f t="shared" si="24"/>
        <v>43885</v>
      </c>
      <c r="Q170">
        <f t="shared" si="24"/>
        <v>512110</v>
      </c>
      <c r="R170">
        <f t="shared" si="24"/>
        <v>385631</v>
      </c>
      <c r="S170">
        <f t="shared" si="24"/>
        <v>25248</v>
      </c>
      <c r="T170">
        <f t="shared" si="24"/>
        <v>0</v>
      </c>
      <c r="U170">
        <f t="shared" si="24"/>
        <v>1895698</v>
      </c>
      <c r="V170">
        <f t="shared" si="24"/>
        <v>562451</v>
      </c>
      <c r="W170">
        <f t="shared" si="24"/>
        <v>1333250</v>
      </c>
      <c r="X170">
        <f t="shared" si="24"/>
        <v>93559</v>
      </c>
      <c r="Y170">
        <f t="shared" si="24"/>
        <v>418548</v>
      </c>
      <c r="Z170">
        <f t="shared" si="24"/>
        <v>8094652</v>
      </c>
      <c r="AA170" s="288"/>
    </row>
    <row r="171" spans="1:27">
      <c r="C171" s="57"/>
    </row>
    <row r="173" spans="1:27">
      <c r="B173" t="s">
        <v>960</v>
      </c>
      <c r="C173" t="s">
        <v>560</v>
      </c>
      <c r="D173" t="s">
        <v>561</v>
      </c>
      <c r="E173" t="s">
        <v>562</v>
      </c>
      <c r="F173" t="s">
        <v>114</v>
      </c>
      <c r="G173" t="s">
        <v>563</v>
      </c>
      <c r="H173" t="s">
        <v>564</v>
      </c>
      <c r="I173" t="s">
        <v>961</v>
      </c>
      <c r="J173" t="s">
        <v>2</v>
      </c>
      <c r="K173" t="s">
        <v>566</v>
      </c>
      <c r="L173" t="s">
        <v>567</v>
      </c>
      <c r="M173" t="s">
        <v>568</v>
      </c>
      <c r="N173" t="s">
        <v>569</v>
      </c>
      <c r="O173" t="s">
        <v>570</v>
      </c>
      <c r="P173" t="s">
        <v>571</v>
      </c>
      <c r="Q173" t="s">
        <v>572</v>
      </c>
      <c r="R173" t="s">
        <v>573</v>
      </c>
      <c r="S173" t="s">
        <v>574</v>
      </c>
      <c r="T173" t="s">
        <v>575</v>
      </c>
      <c r="U173" t="s">
        <v>74</v>
      </c>
      <c r="V173" t="s">
        <v>912</v>
      </c>
      <c r="W173" t="s">
        <v>913</v>
      </c>
      <c r="X173" t="s">
        <v>914</v>
      </c>
      <c r="Y173" t="s">
        <v>915</v>
      </c>
    </row>
    <row r="174" spans="1:27">
      <c r="B174" t="s">
        <v>948</v>
      </c>
      <c r="C174" s="57">
        <f t="shared" ref="C174:C184" si="25">C159/C$170</f>
        <v>8.3702999382142818E-2</v>
      </c>
      <c r="D174" s="57">
        <f t="shared" ref="D174:Y184" si="26">D159/D$170</f>
        <v>7.7268848979252069E-2</v>
      </c>
      <c r="E174" s="57">
        <f t="shared" si="26"/>
        <v>9.1783733678541174E-2</v>
      </c>
      <c r="F174" s="57">
        <f t="shared" si="26"/>
        <v>7.6453976395555817E-2</v>
      </c>
      <c r="G174" s="57">
        <f t="shared" si="26"/>
        <v>0.3726991226561156</v>
      </c>
      <c r="H174" s="57">
        <f t="shared" ref="H174:L184" si="27">H159/H$170</f>
        <v>0.1092055817515977</v>
      </c>
      <c r="I174" s="57">
        <f t="shared" si="27"/>
        <v>7.4643979446881614E-2</v>
      </c>
      <c r="J174" s="57">
        <f t="shared" si="27"/>
        <v>6.7142191685105393E-2</v>
      </c>
      <c r="K174" s="57">
        <f t="shared" si="27"/>
        <v>7.0315988547713482E-2</v>
      </c>
      <c r="L174" s="57">
        <f t="shared" si="27"/>
        <v>0.12048242877937201</v>
      </c>
      <c r="M174" s="57">
        <f t="shared" si="26"/>
        <v>0.14431217104831406</v>
      </c>
      <c r="N174" s="57">
        <f t="shared" si="26"/>
        <v>7.9484605087014729E-2</v>
      </c>
      <c r="O174" s="57">
        <f t="shared" si="26"/>
        <v>8.1274586939417776E-2</v>
      </c>
      <c r="P174" s="57">
        <f t="shared" si="26"/>
        <v>8.7387490030762224E-2</v>
      </c>
      <c r="Q174" s="57">
        <f t="shared" si="26"/>
        <v>7.6831149557712211E-2</v>
      </c>
      <c r="R174" s="57">
        <f t="shared" si="26"/>
        <v>6.6695882851741689E-2</v>
      </c>
      <c r="S174" s="57">
        <f t="shared" si="26"/>
        <v>0.11438529784537389</v>
      </c>
      <c r="T174" s="57"/>
      <c r="U174" s="57">
        <f t="shared" si="26"/>
        <v>8.0600918500731658E-2</v>
      </c>
      <c r="V174" s="57">
        <f t="shared" si="26"/>
        <v>8.9248663439126255E-2</v>
      </c>
      <c r="W174" s="57">
        <f t="shared" si="26"/>
        <v>7.6954059628726798E-2</v>
      </c>
      <c r="X174" s="57">
        <f t="shared" si="26"/>
        <v>9.5415726974422563E-2</v>
      </c>
      <c r="Y174" s="57">
        <f t="shared" si="26"/>
        <v>7.2679836004472601E-2</v>
      </c>
    </row>
    <row r="175" spans="1:27">
      <c r="B175" t="s">
        <v>949</v>
      </c>
      <c r="C175" s="57">
        <f t="shared" si="25"/>
        <v>0.1197570008398418</v>
      </c>
      <c r="D175" s="57">
        <f t="shared" ref="D175:R175" si="28">D160/D$170</f>
        <v>0.16108602307174716</v>
      </c>
      <c r="E175" s="57">
        <f t="shared" si="28"/>
        <v>7.3092966390180758E-2</v>
      </c>
      <c r="F175" s="57">
        <f t="shared" si="28"/>
        <v>7.1478736597011899E-2</v>
      </c>
      <c r="G175" s="57">
        <f t="shared" si="28"/>
        <v>0.16626526750387063</v>
      </c>
      <c r="H175" s="57">
        <f t="shared" si="27"/>
        <v>9.6268460231216643E-2</v>
      </c>
      <c r="I175" s="57">
        <f t="shared" si="27"/>
        <v>9.0759314843875352E-2</v>
      </c>
      <c r="J175" s="57">
        <f t="shared" si="27"/>
        <v>5.3022010015139162E-2</v>
      </c>
      <c r="K175" s="57">
        <f t="shared" si="27"/>
        <v>9.5426965406740033E-2</v>
      </c>
      <c r="L175" s="57">
        <f t="shared" si="27"/>
        <v>0.11679767103347889</v>
      </c>
      <c r="M175" s="57">
        <f t="shared" si="28"/>
        <v>0.11634225413117379</v>
      </c>
      <c r="N175" s="57">
        <f t="shared" si="28"/>
        <v>0.11423471664435519</v>
      </c>
      <c r="O175" s="57">
        <f t="shared" si="28"/>
        <v>0.12309205350118017</v>
      </c>
      <c r="P175" s="57">
        <f t="shared" si="28"/>
        <v>9.0554859291329615E-2</v>
      </c>
      <c r="Q175" s="57">
        <f t="shared" si="28"/>
        <v>7.3749780320634242E-2</v>
      </c>
      <c r="R175" s="57">
        <f t="shared" si="28"/>
        <v>6.8806709004203506E-2</v>
      </c>
      <c r="S175" s="57">
        <f t="shared" si="26"/>
        <v>0.1370009505703422</v>
      </c>
      <c r="T175" s="57"/>
      <c r="U175" s="57">
        <f t="shared" si="26"/>
        <v>8.2257300477185713E-2</v>
      </c>
      <c r="V175" s="57">
        <f t="shared" si="26"/>
        <v>8.0719920490851652E-2</v>
      </c>
      <c r="W175" s="57">
        <f t="shared" si="26"/>
        <v>8.2905681605100312E-2</v>
      </c>
      <c r="X175" s="57">
        <f t="shared" si="26"/>
        <v>8.4545580863412392E-2</v>
      </c>
      <c r="Y175" s="57">
        <f t="shared" si="26"/>
        <v>7.1339487944035093E-2</v>
      </c>
    </row>
    <row r="176" spans="1:27">
      <c r="B176" t="s">
        <v>950</v>
      </c>
      <c r="C176" s="57">
        <f t="shared" si="25"/>
        <v>0.12791863523857797</v>
      </c>
      <c r="D176" s="57">
        <f t="shared" si="26"/>
        <v>0.1129794185586748</v>
      </c>
      <c r="E176" s="57">
        <f t="shared" si="26"/>
        <v>0.14613798724648799</v>
      </c>
      <c r="F176" s="57">
        <f t="shared" si="26"/>
        <v>0.1592930899212904</v>
      </c>
      <c r="G176" s="57">
        <f t="shared" si="26"/>
        <v>0.145793910201273</v>
      </c>
      <c r="H176" s="57">
        <f t="shared" si="27"/>
        <v>0.15808181143636754</v>
      </c>
      <c r="I176" s="57">
        <f t="shared" si="27"/>
        <v>0.13495712882484845</v>
      </c>
      <c r="J176" s="57">
        <f t="shared" si="27"/>
        <v>0.18259966616202788</v>
      </c>
      <c r="K176" s="57">
        <f t="shared" si="27"/>
        <v>9.9104305114128863E-2</v>
      </c>
      <c r="L176" s="57">
        <f t="shared" si="27"/>
        <v>0.20682886254938657</v>
      </c>
      <c r="M176" s="57">
        <f t="shared" si="26"/>
        <v>0.19571066689417108</v>
      </c>
      <c r="N176" s="57">
        <f t="shared" si="26"/>
        <v>0.24793618920124944</v>
      </c>
      <c r="O176" s="57">
        <f t="shared" si="26"/>
        <v>0.21667977970102281</v>
      </c>
      <c r="P176" s="57">
        <f t="shared" si="26"/>
        <v>0.19038395807223424</v>
      </c>
      <c r="Q176" s="57">
        <f t="shared" si="26"/>
        <v>0.20048622366288493</v>
      </c>
      <c r="R176" s="57">
        <f t="shared" si="26"/>
        <v>0.19980240177786537</v>
      </c>
      <c r="S176" s="57">
        <f t="shared" si="26"/>
        <v>0.21415557667934093</v>
      </c>
      <c r="T176" s="57"/>
      <c r="U176" s="57">
        <f t="shared" si="26"/>
        <v>0.16960665675650868</v>
      </c>
      <c r="V176" s="57">
        <f t="shared" si="26"/>
        <v>0.19006455673472</v>
      </c>
      <c r="W176" s="57">
        <f t="shared" si="26"/>
        <v>0.16097656103506469</v>
      </c>
      <c r="X176" s="57">
        <f t="shared" si="26"/>
        <v>0.19971354973866759</v>
      </c>
      <c r="Y176" s="57">
        <f t="shared" si="26"/>
        <v>0.2006603782600801</v>
      </c>
    </row>
    <row r="177" spans="1:25">
      <c r="B177" t="s">
        <v>951</v>
      </c>
      <c r="C177" s="57">
        <f t="shared" si="25"/>
        <v>3.444831273192768E-2</v>
      </c>
      <c r="D177" s="57">
        <f t="shared" si="26"/>
        <v>3.42260975728189E-2</v>
      </c>
      <c r="E177" s="57">
        <f t="shared" si="26"/>
        <v>3.5008230649981618E-2</v>
      </c>
      <c r="F177" s="57">
        <f t="shared" si="26"/>
        <v>3.9292583750221446E-2</v>
      </c>
      <c r="G177" s="57" t="e">
        <f t="shared" si="26"/>
        <v>#VALUE!</v>
      </c>
      <c r="H177" s="57">
        <f t="shared" si="27"/>
        <v>4.5022619019124438E-2</v>
      </c>
      <c r="I177" s="57">
        <f t="shared" si="27"/>
        <v>3.4989609952530594E-2</v>
      </c>
      <c r="J177" s="57">
        <f t="shared" si="27"/>
        <v>4.2360545009898685E-2</v>
      </c>
      <c r="K177" s="57">
        <f t="shared" si="27"/>
        <v>3.003598539570802E-2</v>
      </c>
      <c r="L177" s="57">
        <f t="shared" si="27"/>
        <v>3.2746932834269077E-2</v>
      </c>
      <c r="M177" s="57">
        <f t="shared" si="26"/>
        <v>3.0673719303311503E-2</v>
      </c>
      <c r="N177" s="57">
        <f t="shared" si="26"/>
        <v>3.9547077197679609E-2</v>
      </c>
      <c r="O177" s="57">
        <f t="shared" si="26"/>
        <v>3.5129819040125888E-2</v>
      </c>
      <c r="P177" s="57">
        <f t="shared" si="26"/>
        <v>5.3161672553264212E-2</v>
      </c>
      <c r="Q177" s="57">
        <f t="shared" si="26"/>
        <v>3.1120267130108764E-2</v>
      </c>
      <c r="R177" s="57">
        <f t="shared" si="26"/>
        <v>2.8830669733501714E-2</v>
      </c>
      <c r="S177" s="57">
        <f t="shared" si="26"/>
        <v>3.2002534854245882E-2</v>
      </c>
      <c r="T177" s="57"/>
      <c r="U177" s="57">
        <f t="shared" si="26"/>
        <v>3.6281622916730406E-2</v>
      </c>
      <c r="V177" s="57">
        <f t="shared" si="26"/>
        <v>3.1407180358822367E-2</v>
      </c>
      <c r="W177" s="57">
        <f t="shared" si="26"/>
        <v>3.8340896306019126E-2</v>
      </c>
      <c r="X177" s="57">
        <f t="shared" si="26"/>
        <v>4.2059021579965584E-2</v>
      </c>
      <c r="Y177" s="57">
        <f t="shared" si="26"/>
        <v>2.8668157535097528E-2</v>
      </c>
    </row>
    <row r="178" spans="1:25">
      <c r="B178" t="s">
        <v>952</v>
      </c>
      <c r="C178" s="57">
        <f t="shared" si="25"/>
        <v>4.5817624838598685E-2</v>
      </c>
      <c r="D178" s="57">
        <f t="shared" si="26"/>
        <v>4.4631275189200813E-2</v>
      </c>
      <c r="E178" s="57">
        <f t="shared" si="26"/>
        <v>4.754598775790702E-2</v>
      </c>
      <c r="F178" s="57">
        <f t="shared" si="26"/>
        <v>3.3287074921754388E-2</v>
      </c>
      <c r="G178" s="57" t="e">
        <f t="shared" si="26"/>
        <v>#VALUE!</v>
      </c>
      <c r="H178" s="57">
        <f t="shared" si="27"/>
        <v>2.9356853921826756E-2</v>
      </c>
      <c r="I178" s="57">
        <f t="shared" si="27"/>
        <v>3.9321731439774903E-2</v>
      </c>
      <c r="J178" s="57">
        <f t="shared" si="27"/>
        <v>2.934086409689065E-2</v>
      </c>
      <c r="K178" s="57">
        <f t="shared" si="27"/>
        <v>4.328754169840561E-2</v>
      </c>
      <c r="L178" s="57">
        <f t="shared" si="27"/>
        <v>6.7448533998752336E-2</v>
      </c>
      <c r="M178" s="57">
        <f t="shared" si="26"/>
        <v>4.6620903280001048E-2</v>
      </c>
      <c r="N178" s="57">
        <f t="shared" si="26"/>
        <v>6.3197233377956269E-2</v>
      </c>
      <c r="O178" s="57">
        <f t="shared" si="26"/>
        <v>0.13442171518489379</v>
      </c>
      <c r="P178" s="57">
        <f t="shared" si="26"/>
        <v>6.136493106984163E-2</v>
      </c>
      <c r="Q178" s="57">
        <f t="shared" si="26"/>
        <v>3.0462205385561696E-2</v>
      </c>
      <c r="R178" s="57">
        <f t="shared" si="26"/>
        <v>2.6027471857812262E-2</v>
      </c>
      <c r="S178" s="57">
        <f t="shared" si="26"/>
        <v>4.9944550063371354E-2</v>
      </c>
      <c r="T178" s="57"/>
      <c r="U178" s="57">
        <f t="shared" si="26"/>
        <v>3.7110341415141017E-2</v>
      </c>
      <c r="V178" s="57">
        <f t="shared" si="26"/>
        <v>2.9680807750364031E-2</v>
      </c>
      <c r="W178" s="57">
        <f t="shared" si="26"/>
        <v>4.0243015188449277E-2</v>
      </c>
      <c r="X178" s="57">
        <f t="shared" si="26"/>
        <v>4.594961468164474E-2</v>
      </c>
      <c r="Y178" s="57">
        <f t="shared" si="26"/>
        <v>2.6995708974836816E-2</v>
      </c>
    </row>
    <row r="179" spans="1:25">
      <c r="B179" t="s">
        <v>953</v>
      </c>
      <c r="C179" s="57">
        <f t="shared" si="25"/>
        <v>0.22159614338726327</v>
      </c>
      <c r="D179" s="57">
        <f t="shared" si="26"/>
        <v>0.2017286468413349</v>
      </c>
      <c r="E179" s="57">
        <f t="shared" si="26"/>
        <v>0.24620830736283583</v>
      </c>
      <c r="F179" s="57">
        <f t="shared" si="26"/>
        <v>0.16461104971443516</v>
      </c>
      <c r="G179" s="57">
        <f t="shared" si="26"/>
        <v>0.16291071735764664</v>
      </c>
      <c r="H179" s="57">
        <f t="shared" si="27"/>
        <v>0.18832427774719357</v>
      </c>
      <c r="I179" s="57">
        <f t="shared" si="27"/>
        <v>0.16811918617164906</v>
      </c>
      <c r="J179" s="57">
        <f t="shared" si="27"/>
        <v>0.15638562167617717</v>
      </c>
      <c r="K179" s="57">
        <f t="shared" si="27"/>
        <v>0.19580520606235718</v>
      </c>
      <c r="L179" s="57">
        <f t="shared" si="27"/>
        <v>0.13081305884799335</v>
      </c>
      <c r="M179" s="57">
        <f t="shared" si="26"/>
        <v>0.13159379962986784</v>
      </c>
      <c r="N179" s="57">
        <f t="shared" si="26"/>
        <v>0.11479250334672021</v>
      </c>
      <c r="O179" s="57">
        <f t="shared" si="26"/>
        <v>0.14323367427222658</v>
      </c>
      <c r="P179" s="57">
        <f t="shared" si="26"/>
        <v>0.16748319471345563</v>
      </c>
      <c r="Q179" s="57">
        <f t="shared" si="26"/>
        <v>0.2029310109156236</v>
      </c>
      <c r="R179" s="57">
        <f t="shared" si="26"/>
        <v>0.22017680113891258</v>
      </c>
      <c r="S179" s="57">
        <f t="shared" si="26"/>
        <v>0.14630861850443599</v>
      </c>
      <c r="T179" s="57"/>
      <c r="U179" s="57">
        <f t="shared" si="26"/>
        <v>0.18093230039805919</v>
      </c>
      <c r="V179" s="57">
        <f t="shared" si="26"/>
        <v>0.20017921561167107</v>
      </c>
      <c r="W179" s="57">
        <f t="shared" si="26"/>
        <v>0.17281230076879806</v>
      </c>
      <c r="X179" s="57">
        <f t="shared" si="26"/>
        <v>0.15505723661005355</v>
      </c>
      <c r="Y179" s="57">
        <f t="shared" si="26"/>
        <v>0.2136338006632453</v>
      </c>
    </row>
    <row r="180" spans="1:25">
      <c r="B180" t="s">
        <v>954</v>
      </c>
      <c r="C180" s="57">
        <f t="shared" si="25"/>
        <v>5.1285845890879762E-2</v>
      </c>
      <c r="D180" s="57">
        <f t="shared" si="26"/>
        <v>4.5318016911882017E-2</v>
      </c>
      <c r="E180" s="57">
        <f t="shared" si="26"/>
        <v>5.8557478704192041E-2</v>
      </c>
      <c r="F180" s="57">
        <f t="shared" si="26"/>
        <v>5.7258493128727737E-2</v>
      </c>
      <c r="G180" s="57">
        <f t="shared" si="26"/>
        <v>0.1523309822810941</v>
      </c>
      <c r="H180" s="57">
        <f t="shared" si="27"/>
        <v>8.7484142751142913E-2</v>
      </c>
      <c r="I180" s="57">
        <f t="shared" si="27"/>
        <v>5.3464718842576107E-2</v>
      </c>
      <c r="J180" s="57">
        <f t="shared" si="27"/>
        <v>5.2703699390551612E-2</v>
      </c>
      <c r="K180" s="57">
        <f t="shared" si="27"/>
        <v>5.7563499776732946E-2</v>
      </c>
      <c r="L180" s="57">
        <f t="shared" si="27"/>
        <v>7.4327302973591178E-2</v>
      </c>
      <c r="M180" s="57">
        <f t="shared" si="26"/>
        <v>8.7099187546758716E-2</v>
      </c>
      <c r="N180" s="57">
        <f t="shared" si="26"/>
        <v>5.9460062472110664E-2</v>
      </c>
      <c r="O180" s="57">
        <f t="shared" si="26"/>
        <v>4.8426435877261996E-2</v>
      </c>
      <c r="P180" s="57">
        <f t="shared" si="26"/>
        <v>5.8835593027230258E-2</v>
      </c>
      <c r="Q180" s="57">
        <f t="shared" si="26"/>
        <v>7.1664290875007322E-2</v>
      </c>
      <c r="R180" s="57">
        <f t="shared" si="26"/>
        <v>7.4519424008961929E-2</v>
      </c>
      <c r="S180" s="57">
        <f t="shared" si="26"/>
        <v>8.8323827629911283E-2</v>
      </c>
      <c r="T180" s="57"/>
      <c r="U180" s="57">
        <f t="shared" si="26"/>
        <v>6.13874150840482E-2</v>
      </c>
      <c r="V180" s="57">
        <f t="shared" si="26"/>
        <v>7.9071776919233852E-2</v>
      </c>
      <c r="W180" s="57">
        <f t="shared" si="26"/>
        <v>5.3927620476279768E-2</v>
      </c>
      <c r="X180" s="57">
        <f t="shared" si="26"/>
        <v>5.5953996943105419E-2</v>
      </c>
      <c r="Y180" s="57">
        <f t="shared" si="26"/>
        <v>7.5176562783718953E-2</v>
      </c>
    </row>
    <row r="181" spans="1:25">
      <c r="B181" t="s">
        <v>955</v>
      </c>
      <c r="C181" s="57">
        <f t="shared" si="25"/>
        <v>9.9090233046849857E-2</v>
      </c>
      <c r="D181" s="57">
        <f t="shared" si="26"/>
        <v>8.9213992882858514E-2</v>
      </c>
      <c r="E181" s="57">
        <f t="shared" si="26"/>
        <v>0.10342650748749421</v>
      </c>
      <c r="F181" s="57">
        <f t="shared" si="26"/>
        <v>0.15945970456481942</v>
      </c>
      <c r="G181" s="57" t="e">
        <f t="shared" si="26"/>
        <v>#VALUE!</v>
      </c>
      <c r="H181" s="57">
        <f t="shared" si="27"/>
        <v>0.17165322291103186</v>
      </c>
      <c r="I181" s="57">
        <f t="shared" si="27"/>
        <v>0.19754004375168766</v>
      </c>
      <c r="J181" s="57">
        <f t="shared" si="27"/>
        <v>0.14094949730212336</v>
      </c>
      <c r="K181" s="57">
        <f t="shared" si="27"/>
        <v>0.13206902891965014</v>
      </c>
      <c r="L181" s="57">
        <f t="shared" si="27"/>
        <v>0.15013516323559992</v>
      </c>
      <c r="M181" s="57">
        <f t="shared" si="26"/>
        <v>0.14940476971741329</v>
      </c>
      <c r="N181" s="57">
        <f t="shared" si="26"/>
        <v>0.15244310575635878</v>
      </c>
      <c r="O181" s="57">
        <f t="shared" si="26"/>
        <v>0.13469708890637294</v>
      </c>
      <c r="P181" s="57">
        <f t="shared" si="26"/>
        <v>0.14054916258402644</v>
      </c>
      <c r="Q181" s="57">
        <f t="shared" si="26"/>
        <v>0.17362871258128137</v>
      </c>
      <c r="R181" s="57">
        <f t="shared" si="26"/>
        <v>0.18477767606857332</v>
      </c>
      <c r="S181" s="57">
        <f t="shared" si="26"/>
        <v>0.11101869455006337</v>
      </c>
      <c r="T181" s="57"/>
      <c r="U181" s="57">
        <f t="shared" si="26"/>
        <v>0.15404827140187941</v>
      </c>
      <c r="V181" s="57">
        <f t="shared" si="26"/>
        <v>0.17766703232814948</v>
      </c>
      <c r="W181" s="57">
        <f t="shared" si="26"/>
        <v>0.14408100506281643</v>
      </c>
      <c r="X181" s="57">
        <f t="shared" si="26"/>
        <v>0.14983058818499556</v>
      </c>
      <c r="Y181" s="57">
        <f t="shared" si="26"/>
        <v>0.17895199594789607</v>
      </c>
    </row>
    <row r="182" spans="1:25">
      <c r="B182" t="s">
        <v>956</v>
      </c>
      <c r="C182" s="57">
        <f t="shared" si="25"/>
        <v>0.14831532174820286</v>
      </c>
      <c r="D182" s="57">
        <f t="shared" si="26"/>
        <v>0.15588343426355622</v>
      </c>
      <c r="E182" s="57">
        <f t="shared" si="26"/>
        <v>0.1407840692972783</v>
      </c>
      <c r="F182" s="57">
        <f t="shared" si="26"/>
        <v>0.13763002269333627</v>
      </c>
      <c r="G182" s="57" t="e">
        <f t="shared" si="26"/>
        <v>#VALUE!</v>
      </c>
      <c r="H182" s="57">
        <f t="shared" si="27"/>
        <v>7.6928600493070681E-2</v>
      </c>
      <c r="I182" s="57">
        <f t="shared" si="27"/>
        <v>0.12561586957457549</v>
      </c>
      <c r="J182" s="57">
        <f t="shared" si="27"/>
        <v>0.14776600287255928</v>
      </c>
      <c r="K182" s="57">
        <f t="shared" si="27"/>
        <v>0.1995613459063329</v>
      </c>
      <c r="L182" s="57">
        <f t="shared" si="27"/>
        <v>6.0295279683925972E-2</v>
      </c>
      <c r="M182" s="57">
        <f t="shared" si="26"/>
        <v>6.1465565895339219E-2</v>
      </c>
      <c r="N182" s="57">
        <f t="shared" si="26"/>
        <v>6.7659526996876398E-2</v>
      </c>
      <c r="O182" s="57">
        <f t="shared" si="26"/>
        <v>5.3186467348544451E-2</v>
      </c>
      <c r="P182" s="57">
        <f t="shared" si="26"/>
        <v>9.6183206106870228E-2</v>
      </c>
      <c r="Q182" s="57">
        <f t="shared" si="26"/>
        <v>8.9681904278377689E-2</v>
      </c>
      <c r="R182" s="57">
        <f t="shared" si="26"/>
        <v>8.3758826442894896E-2</v>
      </c>
      <c r="S182" s="57">
        <f t="shared" si="26"/>
        <v>6.8322243346007602E-2</v>
      </c>
      <c r="T182" s="57"/>
      <c r="U182" s="57">
        <f t="shared" si="26"/>
        <v>0.12027284936735703</v>
      </c>
      <c r="V182" s="57">
        <f t="shared" si="26"/>
        <v>7.8353492126425242E-2</v>
      </c>
      <c r="W182" s="57">
        <f t="shared" si="26"/>
        <v>0.13795687230451903</v>
      </c>
      <c r="X182" s="57">
        <f t="shared" si="26"/>
        <v>0.11105291847924839</v>
      </c>
      <c r="Y182" s="57">
        <f t="shared" si="26"/>
        <v>8.4905434979978406E-2</v>
      </c>
    </row>
    <row r="183" spans="1:25">
      <c r="B183" t="s">
        <v>957</v>
      </c>
      <c r="C183" s="57">
        <f t="shared" si="25"/>
        <v>6.1852313634665118E-2</v>
      </c>
      <c r="D183" s="57">
        <f t="shared" si="26"/>
        <v>7.38073932255357E-2</v>
      </c>
      <c r="E183" s="57">
        <f t="shared" si="26"/>
        <v>4.8568825813875435E-2</v>
      </c>
      <c r="F183" s="57">
        <f t="shared" si="26"/>
        <v>8.702978816740764E-2</v>
      </c>
      <c r="G183" s="57" t="e">
        <f t="shared" si="26"/>
        <v>#VALUE!</v>
      </c>
      <c r="H183" s="57">
        <f t="shared" si="27"/>
        <v>3.1044304554919935E-2</v>
      </c>
      <c r="I183" s="57">
        <f t="shared" si="27"/>
        <v>6.2712056759792273E-2</v>
      </c>
      <c r="J183" s="57">
        <f t="shared" si="27"/>
        <v>0.11261014712161795</v>
      </c>
      <c r="K183" s="57">
        <f t="shared" si="27"/>
        <v>7.001392135746369E-2</v>
      </c>
      <c r="L183" s="57">
        <f t="shared" si="27"/>
        <v>3.3345809939696401E-2</v>
      </c>
      <c r="M183" s="57">
        <f t="shared" si="26"/>
        <v>3.1434984052816022E-2</v>
      </c>
      <c r="N183" s="57">
        <f t="shared" si="26"/>
        <v>4.7858099062918338E-2</v>
      </c>
      <c r="O183" s="57">
        <f t="shared" si="26"/>
        <v>2.9858379228953579E-2</v>
      </c>
      <c r="P183" s="57">
        <f t="shared" si="26"/>
        <v>3.7461547225703544E-2</v>
      </c>
      <c r="Q183" s="57">
        <f t="shared" si="26"/>
        <v>4.0077327136747963E-2</v>
      </c>
      <c r="R183" s="57">
        <f t="shared" si="26"/>
        <v>3.8523873858688745E-2</v>
      </c>
      <c r="S183" s="57">
        <f t="shared" si="26"/>
        <v>3.8537705956907475E-2</v>
      </c>
      <c r="T183" s="57"/>
      <c r="U183" s="57">
        <f t="shared" si="26"/>
        <v>6.6164547306585747E-2</v>
      </c>
      <c r="V183" s="57">
        <f t="shared" si="26"/>
        <v>3.6280493767457074E-2</v>
      </c>
      <c r="W183" s="57">
        <f t="shared" si="26"/>
        <v>7.8771423213950878E-2</v>
      </c>
      <c r="X183" s="57">
        <f t="shared" si="26"/>
        <v>4.4004318130805159E-2</v>
      </c>
      <c r="Y183" s="57">
        <f t="shared" si="26"/>
        <v>3.9195026615824233E-2</v>
      </c>
    </row>
    <row r="184" spans="1:25">
      <c r="B184" t="s">
        <v>958</v>
      </c>
      <c r="C184" s="57">
        <f t="shared" si="25"/>
        <v>6.215569261050209E-3</v>
      </c>
      <c r="D184" s="57">
        <f t="shared" si="26"/>
        <v>3.8568525031388952E-3</v>
      </c>
      <c r="E184" s="57">
        <f t="shared" si="26"/>
        <v>8.8859056112256477E-3</v>
      </c>
      <c r="F184" s="57">
        <f t="shared" si="26"/>
        <v>1.4205480145439821E-2</v>
      </c>
      <c r="G184" s="57" t="e">
        <f t="shared" si="26"/>
        <v>#VALUE!</v>
      </c>
      <c r="H184" s="57">
        <f t="shared" si="27"/>
        <v>6.6301251825079581E-3</v>
      </c>
      <c r="I184" s="57">
        <f t="shared" si="27"/>
        <v>1.7876360391808493E-2</v>
      </c>
      <c r="J184" s="57">
        <f t="shared" si="27"/>
        <v>1.5119754667908854E-2</v>
      </c>
      <c r="K184" s="57">
        <f t="shared" si="27"/>
        <v>6.8162118147671452E-3</v>
      </c>
      <c r="L184" s="57">
        <f t="shared" si="27"/>
        <v>6.77895612393429E-3</v>
      </c>
      <c r="M184" s="57">
        <f t="shared" si="26"/>
        <v>5.3419785008334535E-3</v>
      </c>
      <c r="N184" s="57">
        <f t="shared" si="26"/>
        <v>1.3386880856760375E-2</v>
      </c>
      <c r="O184" s="57" t="e">
        <f t="shared" si="26"/>
        <v>#VALUE!</v>
      </c>
      <c r="P184" s="57">
        <f t="shared" si="26"/>
        <v>1.6634385325281987E-2</v>
      </c>
      <c r="Q184" s="57">
        <f t="shared" si="26"/>
        <v>9.3671281560602209E-3</v>
      </c>
      <c r="R184" s="57">
        <f t="shared" si="26"/>
        <v>8.0802632568439774E-3</v>
      </c>
      <c r="S184" s="57" t="e">
        <f t="shared" si="26"/>
        <v>#VALUE!</v>
      </c>
      <c r="T184" s="57"/>
      <c r="U184" s="57">
        <f t="shared" si="26"/>
        <v>1.1337776375772934E-2</v>
      </c>
      <c r="V184" s="57">
        <f t="shared" si="26"/>
        <v>7.326860473178997E-3</v>
      </c>
      <c r="W184" s="57">
        <f t="shared" si="26"/>
        <v>1.3030564410275643E-2</v>
      </c>
      <c r="X184" s="57">
        <f t="shared" si="26"/>
        <v>1.641744781367907E-2</v>
      </c>
      <c r="Y184" s="57">
        <f t="shared" si="26"/>
        <v>7.7936102908149124E-3</v>
      </c>
    </row>
    <row r="185" spans="1:25">
      <c r="B185" t="s">
        <v>959</v>
      </c>
      <c r="C185">
        <v>1</v>
      </c>
      <c r="D185">
        <v>1</v>
      </c>
      <c r="E185">
        <v>1</v>
      </c>
      <c r="F185">
        <v>1</v>
      </c>
      <c r="G185">
        <v>1</v>
      </c>
      <c r="H185">
        <v>1</v>
      </c>
      <c r="I185">
        <v>1</v>
      </c>
      <c r="J185">
        <v>1</v>
      </c>
      <c r="K185">
        <v>1</v>
      </c>
      <c r="L185">
        <v>1</v>
      </c>
      <c r="M185">
        <v>1</v>
      </c>
      <c r="N185">
        <v>1</v>
      </c>
      <c r="O185">
        <v>1</v>
      </c>
      <c r="P185">
        <v>1</v>
      </c>
      <c r="Q185">
        <v>1</v>
      </c>
      <c r="R185">
        <v>1</v>
      </c>
      <c r="S185">
        <v>1</v>
      </c>
      <c r="T185">
        <v>1</v>
      </c>
      <c r="U185">
        <v>1</v>
      </c>
      <c r="V185">
        <v>1</v>
      </c>
      <c r="W185">
        <v>1</v>
      </c>
      <c r="X185">
        <v>1</v>
      </c>
      <c r="Y185">
        <v>1</v>
      </c>
    </row>
    <row r="186" spans="1:25" s="55" customFormat="1" ht="60">
      <c r="B186" s="55" t="s">
        <v>960</v>
      </c>
      <c r="C186" s="55" t="s">
        <v>561</v>
      </c>
      <c r="D186" s="55" t="s">
        <v>562</v>
      </c>
      <c r="E186" s="55" t="s">
        <v>563</v>
      </c>
      <c r="F186" s="55" t="s">
        <v>564</v>
      </c>
      <c r="G186" s="55" t="s">
        <v>2</v>
      </c>
      <c r="H186" s="55" t="s">
        <v>566</v>
      </c>
      <c r="I186" s="55" t="s">
        <v>568</v>
      </c>
      <c r="J186" s="55" t="s">
        <v>569</v>
      </c>
      <c r="K186" s="55" t="s">
        <v>570</v>
      </c>
      <c r="L186" s="55" t="s">
        <v>573</v>
      </c>
      <c r="M186" s="55" t="s">
        <v>574</v>
      </c>
      <c r="N186" s="55" t="s">
        <v>912</v>
      </c>
      <c r="O186" s="55" t="s">
        <v>913</v>
      </c>
      <c r="P186" s="55" t="s">
        <v>914</v>
      </c>
      <c r="Q186" s="55" t="s">
        <v>915</v>
      </c>
      <c r="R186" s="55" t="s">
        <v>91</v>
      </c>
      <c r="S186" s="55" t="s">
        <v>91</v>
      </c>
    </row>
    <row r="187" spans="1:25" s="287" customFormat="1">
      <c r="A187" s="286">
        <f>S187/$S$195</f>
        <v>7.2851062652230139E-2</v>
      </c>
      <c r="B187" s="287" t="s">
        <v>948</v>
      </c>
      <c r="C187" s="287">
        <v>11139</v>
      </c>
      <c r="D187" s="287">
        <v>11486</v>
      </c>
      <c r="E187" s="287">
        <v>4333</v>
      </c>
      <c r="F187" s="287">
        <v>9125</v>
      </c>
      <c r="G187" s="287">
        <v>34593</v>
      </c>
      <c r="H187" s="287">
        <v>5354</v>
      </c>
      <c r="I187" s="287">
        <v>10995</v>
      </c>
      <c r="J187" s="287">
        <v>1425</v>
      </c>
      <c r="K187" s="287">
        <v>2066</v>
      </c>
      <c r="L187" s="287">
        <v>25720</v>
      </c>
      <c r="M187" s="287">
        <v>2888</v>
      </c>
      <c r="N187" s="287">
        <v>50198</v>
      </c>
      <c r="O187" s="287">
        <v>102599</v>
      </c>
      <c r="P187" s="287">
        <v>8927</v>
      </c>
      <c r="Q187" s="287">
        <v>30420</v>
      </c>
      <c r="R187" s="287">
        <v>589704</v>
      </c>
      <c r="S187" s="287">
        <v>589704</v>
      </c>
      <c r="T187" s="288"/>
    </row>
    <row r="188" spans="1:25" s="287" customFormat="1">
      <c r="A188" s="286">
        <f t="shared" ref="A188:A194" si="29">S188/$S$195</f>
        <v>7.6728437491815585E-2</v>
      </c>
      <c r="B188" s="287" t="s">
        <v>949</v>
      </c>
      <c r="C188" s="287">
        <v>23222</v>
      </c>
      <c r="D188" s="287">
        <v>9147</v>
      </c>
      <c r="E188" s="287">
        <v>1933</v>
      </c>
      <c r="F188" s="287">
        <v>8044</v>
      </c>
      <c r="G188" s="287">
        <v>27318</v>
      </c>
      <c r="H188" s="287">
        <v>7266</v>
      </c>
      <c r="I188" s="287">
        <v>8864</v>
      </c>
      <c r="J188" s="287">
        <v>2048</v>
      </c>
      <c r="K188" s="287">
        <v>3129</v>
      </c>
      <c r="L188" s="287">
        <v>26534</v>
      </c>
      <c r="M188" s="287">
        <v>3459</v>
      </c>
      <c r="N188" s="287">
        <v>45401</v>
      </c>
      <c r="O188" s="287">
        <v>110534</v>
      </c>
      <c r="P188" s="287">
        <v>7910</v>
      </c>
      <c r="Q188" s="287">
        <v>29859</v>
      </c>
      <c r="R188" s="287">
        <v>621090</v>
      </c>
      <c r="S188" s="287">
        <v>621090</v>
      </c>
      <c r="T188" s="288"/>
    </row>
    <row r="189" spans="1:25" s="287" customFormat="1">
      <c r="A189" s="286">
        <f t="shared" si="29"/>
        <v>0.17407876212590734</v>
      </c>
      <c r="B189" s="287" t="s">
        <v>950</v>
      </c>
      <c r="C189" s="287">
        <v>16287</v>
      </c>
      <c r="D189" s="287">
        <v>18288</v>
      </c>
      <c r="E189" s="287">
        <v>1695</v>
      </c>
      <c r="F189" s="287">
        <v>13209</v>
      </c>
      <c r="G189" s="287">
        <v>94079</v>
      </c>
      <c r="H189" s="287">
        <v>7546</v>
      </c>
      <c r="I189" s="287">
        <v>14911</v>
      </c>
      <c r="J189" s="287">
        <v>4445</v>
      </c>
      <c r="K189" s="287">
        <v>5508</v>
      </c>
      <c r="L189" s="287">
        <v>77050</v>
      </c>
      <c r="M189" s="287">
        <v>5407</v>
      </c>
      <c r="N189" s="287">
        <v>106902</v>
      </c>
      <c r="O189" s="287">
        <v>214622</v>
      </c>
      <c r="P189" s="287">
        <v>18685</v>
      </c>
      <c r="Q189" s="287">
        <v>83986</v>
      </c>
      <c r="R189" s="287">
        <v>1409107</v>
      </c>
      <c r="S189" s="287">
        <v>1409107</v>
      </c>
      <c r="T189" s="288"/>
    </row>
    <row r="190" spans="1:25" s="287" customFormat="1">
      <c r="A190" s="286">
        <f t="shared" si="29"/>
        <v>0.19783839997074612</v>
      </c>
      <c r="B190" s="287" t="s">
        <v>953</v>
      </c>
      <c r="C190" s="287">
        <v>29081</v>
      </c>
      <c r="D190" s="287">
        <v>30811</v>
      </c>
      <c r="E190" s="287">
        <v>1894</v>
      </c>
      <c r="F190" s="287">
        <v>15736</v>
      </c>
      <c r="G190" s="287">
        <v>80573</v>
      </c>
      <c r="H190" s="287">
        <v>14909</v>
      </c>
      <c r="I190" s="287">
        <v>10026</v>
      </c>
      <c r="J190" s="287">
        <v>2058</v>
      </c>
      <c r="K190" s="287">
        <v>3641</v>
      </c>
      <c r="L190" s="287">
        <v>84907</v>
      </c>
      <c r="M190" s="287">
        <v>3694</v>
      </c>
      <c r="N190" s="287">
        <v>112591</v>
      </c>
      <c r="O190" s="287">
        <v>230402</v>
      </c>
      <c r="P190" s="287">
        <v>14507</v>
      </c>
      <c r="Q190" s="287">
        <v>89416</v>
      </c>
      <c r="R190" s="287">
        <v>1601433</v>
      </c>
      <c r="S190" s="287">
        <v>1601433</v>
      </c>
      <c r="T190" s="288"/>
    </row>
    <row r="191" spans="1:25">
      <c r="A191" s="286">
        <f t="shared" si="29"/>
        <v>5.3559807141801773E-2</v>
      </c>
      <c r="B191" t="s">
        <v>954</v>
      </c>
      <c r="C191">
        <v>6533</v>
      </c>
      <c r="D191">
        <v>7328</v>
      </c>
      <c r="E191">
        <v>1771</v>
      </c>
      <c r="F191">
        <v>7310</v>
      </c>
      <c r="G191">
        <v>27154</v>
      </c>
      <c r="H191">
        <v>4383</v>
      </c>
      <c r="I191">
        <v>6636</v>
      </c>
      <c r="J191">
        <v>1066</v>
      </c>
      <c r="K191">
        <v>1231</v>
      </c>
      <c r="L191">
        <v>28737</v>
      </c>
      <c r="M191">
        <v>2230</v>
      </c>
      <c r="N191">
        <v>44474</v>
      </c>
      <c r="O191">
        <v>71899</v>
      </c>
      <c r="P191">
        <v>5235</v>
      </c>
      <c r="Q191">
        <v>31465</v>
      </c>
      <c r="R191">
        <v>433548</v>
      </c>
      <c r="S191">
        <v>433548</v>
      </c>
      <c r="T191" s="288"/>
    </row>
    <row r="192" spans="1:25">
      <c r="A192" s="286">
        <f t="shared" si="29"/>
        <v>0.21158253622268133</v>
      </c>
      <c r="B192" t="s">
        <v>955</v>
      </c>
      <c r="C192">
        <v>24229</v>
      </c>
      <c r="D192">
        <v>22086</v>
      </c>
      <c r="E192">
        <v>2612</v>
      </c>
      <c r="F192">
        <v>20558</v>
      </c>
      <c r="G192">
        <v>99227</v>
      </c>
      <c r="H192">
        <v>15639</v>
      </c>
      <c r="I192">
        <v>16746</v>
      </c>
      <c r="J192">
        <v>4575</v>
      </c>
      <c r="K192">
        <v>7734</v>
      </c>
      <c r="L192">
        <v>87187</v>
      </c>
      <c r="M192">
        <v>4872</v>
      </c>
      <c r="N192">
        <v>127216</v>
      </c>
      <c r="O192">
        <v>274140</v>
      </c>
      <c r="P192">
        <v>21134</v>
      </c>
      <c r="Q192">
        <v>92667</v>
      </c>
      <c r="R192">
        <v>1712687</v>
      </c>
      <c r="S192">
        <v>1712687</v>
      </c>
      <c r="T192" s="288"/>
    </row>
    <row r="193" spans="1:25" s="287" customFormat="1">
      <c r="A193" s="286">
        <f t="shared" si="29"/>
        <v>0.12727477351713204</v>
      </c>
      <c r="B193" s="287" t="s">
        <v>956</v>
      </c>
      <c r="C193" s="287">
        <v>22472</v>
      </c>
      <c r="D193" s="287">
        <v>17618</v>
      </c>
      <c r="E193" s="287">
        <v>684</v>
      </c>
      <c r="F193" s="287">
        <v>6428</v>
      </c>
      <c r="G193" s="287">
        <v>76132</v>
      </c>
      <c r="H193" s="287">
        <v>15195</v>
      </c>
      <c r="I193" s="287">
        <v>4683</v>
      </c>
      <c r="J193" s="287">
        <v>1213</v>
      </c>
      <c r="K193" s="287">
        <v>1352</v>
      </c>
      <c r="L193" s="287">
        <v>32300</v>
      </c>
      <c r="M193" s="287">
        <v>1725</v>
      </c>
      <c r="N193" s="287">
        <v>44070</v>
      </c>
      <c r="O193" s="287">
        <v>183931</v>
      </c>
      <c r="P193" s="287">
        <v>10390</v>
      </c>
      <c r="Q193" s="287">
        <v>35537</v>
      </c>
      <c r="R193" s="287">
        <v>1030245</v>
      </c>
      <c r="S193" s="287">
        <v>1030245</v>
      </c>
      <c r="T193" s="288"/>
    </row>
    <row r="194" spans="1:25">
      <c r="A194" s="286">
        <f t="shared" si="29"/>
        <v>8.6086220877685665E-2</v>
      </c>
      <c r="B194" t="s">
        <v>957</v>
      </c>
      <c r="C194">
        <v>11196</v>
      </c>
      <c r="D194">
        <v>7190</v>
      </c>
      <c r="E194">
        <v>684</v>
      </c>
      <c r="F194">
        <v>3148</v>
      </c>
      <c r="G194">
        <v>65809</v>
      </c>
      <c r="H194">
        <v>5850</v>
      </c>
      <c r="I194">
        <v>2802</v>
      </c>
      <c r="J194">
        <v>1098</v>
      </c>
      <c r="K194">
        <v>908</v>
      </c>
      <c r="L194">
        <v>17972</v>
      </c>
      <c r="M194">
        <v>1122</v>
      </c>
      <c r="N194">
        <v>24527</v>
      </c>
      <c r="O194">
        <v>122395</v>
      </c>
      <c r="P194">
        <v>5653</v>
      </c>
      <c r="Q194">
        <v>19667</v>
      </c>
      <c r="R194">
        <v>696838</v>
      </c>
      <c r="S194">
        <v>696838</v>
      </c>
      <c r="T194" s="288"/>
    </row>
    <row r="195" spans="1:25">
      <c r="C195">
        <f>SUM(C187:C194)</f>
        <v>144159</v>
      </c>
      <c r="D195">
        <f t="shared" ref="D195:S195" si="30">SUM(D187:D194)</f>
        <v>123954</v>
      </c>
      <c r="E195">
        <f t="shared" si="30"/>
        <v>15606</v>
      </c>
      <c r="F195">
        <f t="shared" si="30"/>
        <v>83558</v>
      </c>
      <c r="G195">
        <f t="shared" si="30"/>
        <v>504885</v>
      </c>
      <c r="H195">
        <f t="shared" si="30"/>
        <v>76142</v>
      </c>
      <c r="I195">
        <f t="shared" si="30"/>
        <v>75663</v>
      </c>
      <c r="J195">
        <f t="shared" si="30"/>
        <v>17928</v>
      </c>
      <c r="K195">
        <f t="shared" si="30"/>
        <v>25569</v>
      </c>
      <c r="L195">
        <f t="shared" si="30"/>
        <v>380407</v>
      </c>
      <c r="M195">
        <f t="shared" si="30"/>
        <v>25397</v>
      </c>
      <c r="N195">
        <f>SUM(N187:N194)</f>
        <v>555379</v>
      </c>
      <c r="O195">
        <f>SUM(O187:O194)</f>
        <v>1310522</v>
      </c>
      <c r="P195">
        <f>SUM(P187:P194)</f>
        <v>92441</v>
      </c>
      <c r="Q195">
        <f>SUM(Q187:Q194)</f>
        <v>413017</v>
      </c>
      <c r="R195">
        <f>SUM(R187:R194)</f>
        <v>8094652</v>
      </c>
      <c r="S195">
        <f t="shared" si="30"/>
        <v>8094652</v>
      </c>
    </row>
    <row r="196" spans="1:25" s="55" customFormat="1" ht="60">
      <c r="C196" s="55" t="s">
        <v>561</v>
      </c>
      <c r="D196" s="55" t="s">
        <v>562</v>
      </c>
      <c r="E196" s="55" t="s">
        <v>563</v>
      </c>
      <c r="F196" s="55" t="s">
        <v>564</v>
      </c>
      <c r="G196" s="55" t="s">
        <v>2</v>
      </c>
      <c r="H196" s="55" t="s">
        <v>566</v>
      </c>
      <c r="I196" s="55" t="s">
        <v>568</v>
      </c>
      <c r="J196" s="55" t="s">
        <v>569</v>
      </c>
      <c r="K196" s="55" t="s">
        <v>570</v>
      </c>
      <c r="L196" s="55" t="s">
        <v>573</v>
      </c>
      <c r="M196" s="55" t="s">
        <v>574</v>
      </c>
      <c r="N196" s="55" t="s">
        <v>912</v>
      </c>
      <c r="O196" s="55" t="s">
        <v>913</v>
      </c>
      <c r="P196" s="55" t="s">
        <v>914</v>
      </c>
      <c r="Q196" s="55" t="s">
        <v>915</v>
      </c>
    </row>
    <row r="197" spans="1:25">
      <c r="B197" s="287" t="s">
        <v>948</v>
      </c>
      <c r="C197" s="57">
        <f>C187/C$195</f>
        <v>7.7268848979252069E-2</v>
      </c>
      <c r="D197" s="57">
        <f t="shared" ref="D197:M197" si="31">D187/D$195</f>
        <v>9.2663407393065167E-2</v>
      </c>
      <c r="E197" s="57">
        <f t="shared" si="31"/>
        <v>0.27764962194027937</v>
      </c>
      <c r="F197" s="57">
        <f t="shared" si="31"/>
        <v>0.1092055817515977</v>
      </c>
      <c r="G197" s="57">
        <f t="shared" si="31"/>
        <v>6.8516592887489236E-2</v>
      </c>
      <c r="H197" s="57">
        <f t="shared" ref="H197:L204" si="32">H187/H$195</f>
        <v>7.0315988547713482E-2</v>
      </c>
      <c r="I197" s="57">
        <f t="shared" si="32"/>
        <v>0.14531541176004123</v>
      </c>
      <c r="J197" s="57">
        <f t="shared" si="32"/>
        <v>7.9484605087014729E-2</v>
      </c>
      <c r="K197" s="57">
        <f t="shared" si="32"/>
        <v>8.0800969924517976E-2</v>
      </c>
      <c r="L197" s="57">
        <f t="shared" si="32"/>
        <v>6.7611794735638414E-2</v>
      </c>
      <c r="M197" s="57">
        <f t="shared" si="31"/>
        <v>0.11371421821474978</v>
      </c>
      <c r="N197" s="57">
        <f t="shared" ref="N197:Q204" si="33">N187/N$195</f>
        <v>9.0385124392531949E-2</v>
      </c>
      <c r="O197" s="57">
        <f t="shared" si="33"/>
        <v>7.8288651392345948E-2</v>
      </c>
      <c r="P197" s="57">
        <f t="shared" si="33"/>
        <v>9.6569703919256608E-2</v>
      </c>
      <c r="Q197" s="57">
        <f t="shared" si="33"/>
        <v>7.3653142606720789E-2</v>
      </c>
      <c r="R197" s="57"/>
      <c r="S197" s="57"/>
      <c r="T197" s="57"/>
      <c r="U197" s="57"/>
      <c r="V197" s="57"/>
      <c r="W197" s="57"/>
      <c r="X197" s="57"/>
      <c r="Y197" s="57"/>
    </row>
    <row r="198" spans="1:25">
      <c r="B198" s="287" t="s">
        <v>949</v>
      </c>
      <c r="C198" s="57">
        <f t="shared" ref="C198:M198" si="34">C188/C$195</f>
        <v>0.16108602307174716</v>
      </c>
      <c r="D198" s="57">
        <f t="shared" si="34"/>
        <v>7.3793504041821972E-2</v>
      </c>
      <c r="E198" s="57">
        <f t="shared" si="34"/>
        <v>0.12386261694220171</v>
      </c>
      <c r="F198" s="57">
        <f t="shared" si="34"/>
        <v>9.6268460231216643E-2</v>
      </c>
      <c r="G198" s="57">
        <f t="shared" si="34"/>
        <v>5.4107370985471942E-2</v>
      </c>
      <c r="H198" s="57">
        <f t="shared" si="32"/>
        <v>9.5426965406740033E-2</v>
      </c>
      <c r="I198" s="57">
        <f t="shared" si="32"/>
        <v>0.11715105137253347</v>
      </c>
      <c r="J198" s="57">
        <f t="shared" si="32"/>
        <v>0.11423471664435519</v>
      </c>
      <c r="K198" s="57">
        <f t="shared" si="32"/>
        <v>0.12237475067464508</v>
      </c>
      <c r="L198" s="57">
        <f t="shared" si="32"/>
        <v>6.9751608146012029E-2</v>
      </c>
      <c r="M198" s="57">
        <f t="shared" si="34"/>
        <v>0.13619718864432806</v>
      </c>
      <c r="N198" s="57">
        <f t="shared" si="33"/>
        <v>8.1747779444307403E-2</v>
      </c>
      <c r="O198" s="57">
        <f t="shared" si="33"/>
        <v>8.4343490609085539E-2</v>
      </c>
      <c r="P198" s="57">
        <f t="shared" si="33"/>
        <v>8.5568092080353958E-2</v>
      </c>
      <c r="Q198" s="57">
        <f t="shared" si="33"/>
        <v>7.2294845006379879E-2</v>
      </c>
      <c r="R198" s="57"/>
      <c r="S198" s="57"/>
      <c r="T198" s="57"/>
      <c r="U198" s="57"/>
      <c r="V198" s="57"/>
      <c r="W198" s="57"/>
      <c r="X198" s="57"/>
      <c r="Y198" s="57"/>
    </row>
    <row r="199" spans="1:25">
      <c r="B199" s="287" t="s">
        <v>950</v>
      </c>
      <c r="C199" s="57">
        <f t="shared" ref="C199:M199" si="35">C189/C$195</f>
        <v>0.1129794185586748</v>
      </c>
      <c r="D199" s="57">
        <f t="shared" si="35"/>
        <v>0.14753860303015634</v>
      </c>
      <c r="E199" s="57">
        <f t="shared" si="35"/>
        <v>0.10861207227989235</v>
      </c>
      <c r="F199" s="57">
        <f t="shared" si="35"/>
        <v>0.15808181143636754</v>
      </c>
      <c r="G199" s="57">
        <f t="shared" si="35"/>
        <v>0.1863374827931113</v>
      </c>
      <c r="H199" s="57">
        <f t="shared" si="32"/>
        <v>9.9104305114128863E-2</v>
      </c>
      <c r="I199" s="57">
        <f t="shared" si="32"/>
        <v>0.19707122371568667</v>
      </c>
      <c r="J199" s="57">
        <f t="shared" si="32"/>
        <v>0.24793618920124944</v>
      </c>
      <c r="K199" s="57">
        <f t="shared" si="32"/>
        <v>0.21541710665258712</v>
      </c>
      <c r="L199" s="57">
        <f t="shared" si="32"/>
        <v>0.2025462202325404</v>
      </c>
      <c r="M199" s="57">
        <f t="shared" si="35"/>
        <v>0.21289916131826594</v>
      </c>
      <c r="N199" s="57">
        <f t="shared" si="33"/>
        <v>0.19248477166043368</v>
      </c>
      <c r="O199" s="57">
        <f t="shared" si="33"/>
        <v>0.16376833048205219</v>
      </c>
      <c r="P199" s="57">
        <f t="shared" si="33"/>
        <v>0.20212892547679059</v>
      </c>
      <c r="Q199" s="57">
        <f t="shared" si="33"/>
        <v>0.20334756196476175</v>
      </c>
      <c r="R199" s="57"/>
      <c r="S199" s="57"/>
      <c r="T199" s="57"/>
      <c r="U199" s="57"/>
      <c r="V199" s="57"/>
      <c r="W199" s="57"/>
      <c r="X199" s="57"/>
      <c r="Y199" s="57"/>
    </row>
    <row r="200" spans="1:25">
      <c r="B200" s="287" t="s">
        <v>953</v>
      </c>
      <c r="C200" s="57">
        <f t="shared" ref="C200:M200" si="36">C190/C$195</f>
        <v>0.2017286468413349</v>
      </c>
      <c r="D200" s="57">
        <f t="shared" si="36"/>
        <v>0.24856801716765897</v>
      </c>
      <c r="E200" s="57">
        <f t="shared" si="36"/>
        <v>0.12136357811098296</v>
      </c>
      <c r="F200" s="57">
        <f t="shared" si="36"/>
        <v>0.18832427774719357</v>
      </c>
      <c r="G200" s="57">
        <f t="shared" si="36"/>
        <v>0.15958683660635589</v>
      </c>
      <c r="H200" s="57">
        <f t="shared" si="32"/>
        <v>0.19580520606235718</v>
      </c>
      <c r="I200" s="57">
        <f t="shared" si="32"/>
        <v>0.13250862376590936</v>
      </c>
      <c r="J200" s="57">
        <f t="shared" si="32"/>
        <v>0.11479250334672021</v>
      </c>
      <c r="K200" s="57">
        <f t="shared" si="32"/>
        <v>0.14239899878759435</v>
      </c>
      <c r="L200" s="57">
        <f t="shared" si="32"/>
        <v>0.22320041429311238</v>
      </c>
      <c r="M200" s="57">
        <f t="shared" si="36"/>
        <v>0.14545025002953105</v>
      </c>
      <c r="N200" s="57">
        <f t="shared" si="33"/>
        <v>0.2027282270305503</v>
      </c>
      <c r="O200" s="57">
        <f t="shared" si="33"/>
        <v>0.1758093339905778</v>
      </c>
      <c r="P200" s="57">
        <f t="shared" si="33"/>
        <v>0.15693252993801451</v>
      </c>
      <c r="Q200" s="57">
        <f t="shared" si="33"/>
        <v>0.2164947205562967</v>
      </c>
      <c r="R200" s="57"/>
      <c r="S200" s="57"/>
      <c r="T200" s="57"/>
      <c r="U200" s="57"/>
      <c r="V200" s="57"/>
      <c r="W200" s="57"/>
      <c r="X200" s="57"/>
      <c r="Y200" s="57"/>
    </row>
    <row r="201" spans="1:25">
      <c r="B201" t="s">
        <v>954</v>
      </c>
      <c r="C201" s="57">
        <f t="shared" ref="C201:M201" si="37">C191/C$195</f>
        <v>4.5318016911882017E-2</v>
      </c>
      <c r="D201" s="57">
        <f t="shared" si="37"/>
        <v>5.9118705326169384E-2</v>
      </c>
      <c r="E201" s="57">
        <f t="shared" si="37"/>
        <v>0.11348199410483148</v>
      </c>
      <c r="F201" s="57">
        <f t="shared" si="37"/>
        <v>8.7484142751142913E-2</v>
      </c>
      <c r="G201" s="57">
        <f t="shared" si="37"/>
        <v>5.3782544539845704E-2</v>
      </c>
      <c r="H201" s="57">
        <f t="shared" si="32"/>
        <v>5.7563499776732946E-2</v>
      </c>
      <c r="I201" s="57">
        <f t="shared" si="32"/>
        <v>8.7704690535664723E-2</v>
      </c>
      <c r="J201" s="57">
        <f t="shared" si="32"/>
        <v>5.9460062472110664E-2</v>
      </c>
      <c r="K201" s="57">
        <f t="shared" si="32"/>
        <v>4.8144237162188588E-2</v>
      </c>
      <c r="L201" s="57">
        <f t="shared" si="32"/>
        <v>7.554277392371854E-2</v>
      </c>
      <c r="M201" s="57">
        <f t="shared" si="37"/>
        <v>8.7805646336181445E-2</v>
      </c>
      <c r="N201" s="57">
        <f t="shared" si="33"/>
        <v>8.0078648994650503E-2</v>
      </c>
      <c r="O201" s="57">
        <f t="shared" si="33"/>
        <v>5.4862871435962156E-2</v>
      </c>
      <c r="P201" s="57">
        <f t="shared" si="33"/>
        <v>5.6630715807920728E-2</v>
      </c>
      <c r="Q201" s="57">
        <f t="shared" si="33"/>
        <v>7.6183304803434243E-2</v>
      </c>
      <c r="R201" s="57"/>
      <c r="S201" s="57"/>
      <c r="T201" s="57"/>
      <c r="U201" s="57"/>
      <c r="V201" s="57"/>
      <c r="W201" s="57"/>
      <c r="X201" s="57"/>
      <c r="Y201" s="57"/>
    </row>
    <row r="202" spans="1:25">
      <c r="B202" t="s">
        <v>955</v>
      </c>
      <c r="C202" s="57">
        <f t="shared" ref="C202:M202" si="38">C192/C$195</f>
        <v>0.16807136564487823</v>
      </c>
      <c r="D202" s="57">
        <f t="shared" si="38"/>
        <v>0.17817900188779709</v>
      </c>
      <c r="E202" s="57">
        <f t="shared" si="38"/>
        <v>0.16737152377290784</v>
      </c>
      <c r="F202" s="57">
        <f t="shared" si="38"/>
        <v>0.24603269585198306</v>
      </c>
      <c r="G202" s="57">
        <f t="shared" si="38"/>
        <v>0.19653386414728105</v>
      </c>
      <c r="H202" s="57">
        <f t="shared" si="32"/>
        <v>0.20539255601376374</v>
      </c>
      <c r="I202" s="57">
        <f t="shared" si="32"/>
        <v>0.22132350025772174</v>
      </c>
      <c r="J202" s="57">
        <f t="shared" si="32"/>
        <v>0.25518741633199465</v>
      </c>
      <c r="K202" s="57">
        <f t="shared" si="32"/>
        <v>0.30247565411240174</v>
      </c>
      <c r="L202" s="57">
        <f t="shared" si="32"/>
        <v>0.22919399485288125</v>
      </c>
      <c r="M202" s="57">
        <f t="shared" si="38"/>
        <v>0.19183368114344213</v>
      </c>
      <c r="N202" s="57">
        <f t="shared" si="33"/>
        <v>0.22906159577513735</v>
      </c>
      <c r="O202" s="57">
        <f t="shared" si="33"/>
        <v>0.2091838214085685</v>
      </c>
      <c r="P202" s="57">
        <f t="shared" si="33"/>
        <v>0.22862149911835658</v>
      </c>
      <c r="Q202" s="57">
        <f t="shared" si="33"/>
        <v>0.22436606725631147</v>
      </c>
      <c r="R202" s="57"/>
      <c r="S202" s="57"/>
      <c r="T202" s="57"/>
      <c r="U202" s="57"/>
      <c r="V202" s="57"/>
      <c r="W202" s="57"/>
      <c r="X202" s="57"/>
      <c r="Y202" s="57"/>
    </row>
    <row r="203" spans="1:25">
      <c r="B203" s="287" t="s">
        <v>956</v>
      </c>
      <c r="C203" s="57">
        <f t="shared" ref="C203:M203" si="39">C193/C$195</f>
        <v>0.15588343426355622</v>
      </c>
      <c r="D203" s="57">
        <f t="shared" si="39"/>
        <v>0.14213337205737611</v>
      </c>
      <c r="E203" s="57">
        <f t="shared" si="39"/>
        <v>4.3829296424452137E-2</v>
      </c>
      <c r="F203" s="57">
        <f t="shared" si="39"/>
        <v>7.6928600493070681E-2</v>
      </c>
      <c r="G203" s="57">
        <f t="shared" si="39"/>
        <v>0.1507907741366846</v>
      </c>
      <c r="H203" s="57">
        <f t="shared" si="32"/>
        <v>0.1995613459063329</v>
      </c>
      <c r="I203" s="57">
        <f t="shared" si="32"/>
        <v>6.1892867055231754E-2</v>
      </c>
      <c r="J203" s="57">
        <f t="shared" si="32"/>
        <v>6.7659526996876398E-2</v>
      </c>
      <c r="K203" s="57">
        <f t="shared" si="32"/>
        <v>5.2876530173256678E-2</v>
      </c>
      <c r="L203" s="57">
        <f t="shared" si="32"/>
        <v>8.4909057930059123E-2</v>
      </c>
      <c r="M203" s="57">
        <f t="shared" si="39"/>
        <v>6.7921408040319722E-2</v>
      </c>
      <c r="N203" s="57">
        <f t="shared" si="33"/>
        <v>7.9351217817022243E-2</v>
      </c>
      <c r="O203" s="57">
        <f t="shared" si="33"/>
        <v>0.14034941801816375</v>
      </c>
      <c r="P203" s="57">
        <f t="shared" si="33"/>
        <v>0.11239601475535747</v>
      </c>
      <c r="Q203" s="57">
        <f t="shared" si="33"/>
        <v>8.6042463143163592E-2</v>
      </c>
      <c r="R203" s="57"/>
      <c r="S203" s="57"/>
      <c r="T203" s="57"/>
      <c r="U203" s="57"/>
      <c r="V203" s="57"/>
      <c r="W203" s="57"/>
      <c r="X203" s="57"/>
      <c r="Y203" s="57"/>
    </row>
    <row r="204" spans="1:25">
      <c r="B204" t="s">
        <v>962</v>
      </c>
      <c r="C204" s="57">
        <f t="shared" ref="C204:M204" si="40">C194/C$195</f>
        <v>7.7664245728674586E-2</v>
      </c>
      <c r="D204" s="57">
        <f t="shared" si="40"/>
        <v>5.800538909595495E-2</v>
      </c>
      <c r="E204" s="57">
        <f t="shared" si="40"/>
        <v>4.3829296424452137E-2</v>
      </c>
      <c r="F204" s="57">
        <f t="shared" si="40"/>
        <v>3.7674429737427892E-2</v>
      </c>
      <c r="G204" s="57">
        <f t="shared" si="40"/>
        <v>0.13034453390376027</v>
      </c>
      <c r="H204" s="57">
        <f t="shared" si="32"/>
        <v>7.6830133172230836E-2</v>
      </c>
      <c r="I204" s="57">
        <f t="shared" si="32"/>
        <v>3.7032631537211057E-2</v>
      </c>
      <c r="J204" s="57">
        <f t="shared" si="32"/>
        <v>6.1244979919678713E-2</v>
      </c>
      <c r="K204" s="57">
        <f t="shared" si="32"/>
        <v>3.5511752512808477E-2</v>
      </c>
      <c r="L204" s="57">
        <f t="shared" si="32"/>
        <v>4.7244135886037847E-2</v>
      </c>
      <c r="M204" s="57">
        <f t="shared" si="40"/>
        <v>4.4178446273181869E-2</v>
      </c>
      <c r="N204" s="57">
        <f t="shared" si="33"/>
        <v>4.4162634885366571E-2</v>
      </c>
      <c r="O204" s="57">
        <f t="shared" si="33"/>
        <v>9.3394082663244116E-2</v>
      </c>
      <c r="P204" s="57">
        <f t="shared" si="33"/>
        <v>6.1152518903949543E-2</v>
      </c>
      <c r="Q204" s="57">
        <f t="shared" si="33"/>
        <v>4.7617894662931551E-2</v>
      </c>
      <c r="R204" s="57"/>
      <c r="S204" s="57"/>
      <c r="T204" s="57"/>
      <c r="U204" s="57"/>
      <c r="V204" s="57"/>
      <c r="W204" s="57"/>
      <c r="X204" s="57"/>
      <c r="Y204" s="57"/>
    </row>
  </sheetData>
  <sortState ref="AL83:AP91">
    <sortCondition ref="AL83:AL91"/>
  </sortState>
  <mergeCells count="1">
    <mergeCell ref="D113:E113"/>
  </mergeCells>
  <hyperlinks>
    <hyperlink ref="G156" r:id="rId1" xr:uid="{00000000-0004-0000-1100-000000000000}"/>
    <hyperlink ref="A80" display="http://www.bdm.insee.fr/bdm2/affichageSeries?idbank=001711032&amp;idbank=001711033&amp;idbank=001711037&amp;idbank=001711040&amp;idbank=001711042&amp;idbank=001711044&amp;idbank=001711047&amp;idbank=001711048&amp;idbank=001711049&amp;idbank=001711052&amp;idbank=001711053&amp;idbank=001711054&amp;idbank" xr:uid="{00000000-0004-0000-1100-000001000000}"/>
    <hyperlink ref="C2" r:id="rId2" xr:uid="{00000000-0004-0000-1100-000002000000}"/>
  </hyperlink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3:AO61"/>
  <sheetViews>
    <sheetView topLeftCell="A43" workbookViewId="0">
      <selection activeCell="J38" sqref="J38"/>
    </sheetView>
  </sheetViews>
  <sheetFormatPr baseColWidth="10" defaultRowHeight="15"/>
  <cols>
    <col min="2" max="2" width="21.42578125" style="124" bestFit="1" customWidth="1"/>
  </cols>
  <sheetData>
    <row r="3" spans="1:41" s="153" customFormat="1">
      <c r="A3" s="83" t="s">
        <v>1719</v>
      </c>
      <c r="B3" s="152"/>
    </row>
    <row r="4" spans="1:41" s="55" customFormat="1" ht="75">
      <c r="A4" s="671" t="s">
        <v>251</v>
      </c>
      <c r="B4" s="681" t="s">
        <v>252</v>
      </c>
      <c r="C4" s="671" t="s">
        <v>1037</v>
      </c>
      <c r="D4" s="671" t="s">
        <v>454</v>
      </c>
      <c r="E4" s="671" t="s">
        <v>423</v>
      </c>
      <c r="F4" s="671" t="s">
        <v>1021</v>
      </c>
      <c r="G4" s="671" t="s">
        <v>1022</v>
      </c>
      <c r="H4" s="671" t="s">
        <v>1023</v>
      </c>
      <c r="I4" s="671" t="s">
        <v>414</v>
      </c>
      <c r="J4" s="671" t="s">
        <v>424</v>
      </c>
      <c r="K4" s="671" t="s">
        <v>425</v>
      </c>
      <c r="L4" s="671" t="s">
        <v>1024</v>
      </c>
      <c r="M4" s="671" t="s">
        <v>1036</v>
      </c>
      <c r="N4" s="671" t="s">
        <v>1025</v>
      </c>
      <c r="O4" s="671" t="s">
        <v>426</v>
      </c>
      <c r="P4" s="671" t="s">
        <v>1026</v>
      </c>
      <c r="Q4" s="671" t="s">
        <v>416</v>
      </c>
      <c r="R4" s="671" t="s">
        <v>1027</v>
      </c>
      <c r="S4" s="671" t="s">
        <v>1028</v>
      </c>
      <c r="T4" s="671" t="s">
        <v>1029</v>
      </c>
      <c r="U4" s="671" t="s">
        <v>277</v>
      </c>
      <c r="V4" s="671" t="s">
        <v>1030</v>
      </c>
      <c r="W4" s="671" t="s">
        <v>419</v>
      </c>
      <c r="X4" s="671" t="s">
        <v>280</v>
      </c>
      <c r="Y4" s="671" t="s">
        <v>427</v>
      </c>
      <c r="Z4" s="671" t="s">
        <v>428</v>
      </c>
      <c r="AA4" s="671" t="s">
        <v>1031</v>
      </c>
      <c r="AB4" s="671" t="s">
        <v>282</v>
      </c>
      <c r="AC4" s="671" t="s">
        <v>283</v>
      </c>
      <c r="AD4" s="671" t="s">
        <v>429</v>
      </c>
      <c r="AE4" s="671" t="s">
        <v>430</v>
      </c>
      <c r="AF4" s="671" t="s">
        <v>431</v>
      </c>
      <c r="AG4" s="671" t="s">
        <v>1032</v>
      </c>
      <c r="AH4" s="682" t="s">
        <v>1181</v>
      </c>
      <c r="AI4" s="671" t="s">
        <v>433</v>
      </c>
      <c r="AJ4" s="671" t="s">
        <v>434</v>
      </c>
      <c r="AK4" s="671" t="s">
        <v>1033</v>
      </c>
      <c r="AL4" s="671" t="s">
        <v>1035</v>
      </c>
      <c r="AM4" s="671" t="s">
        <v>286</v>
      </c>
      <c r="AN4" s="671" t="s">
        <v>1034</v>
      </c>
      <c r="AO4" s="671" t="s">
        <v>435</v>
      </c>
    </row>
    <row r="5" spans="1:41">
      <c r="A5">
        <v>59</v>
      </c>
      <c r="B5" t="s">
        <v>89</v>
      </c>
      <c r="C5">
        <v>159954</v>
      </c>
      <c r="D5">
        <v>5826</v>
      </c>
      <c r="E5">
        <v>256</v>
      </c>
      <c r="F5">
        <v>5828</v>
      </c>
      <c r="G5">
        <v>201</v>
      </c>
      <c r="H5">
        <v>1161</v>
      </c>
      <c r="I5">
        <v>0</v>
      </c>
      <c r="J5">
        <v>1347</v>
      </c>
      <c r="K5">
        <v>996</v>
      </c>
      <c r="L5">
        <v>2632</v>
      </c>
      <c r="M5">
        <v>1256</v>
      </c>
      <c r="N5">
        <v>35</v>
      </c>
      <c r="O5">
        <v>143</v>
      </c>
      <c r="P5">
        <v>196</v>
      </c>
      <c r="Q5">
        <v>476</v>
      </c>
      <c r="R5">
        <v>1368</v>
      </c>
      <c r="S5">
        <v>968</v>
      </c>
      <c r="T5">
        <v>1446</v>
      </c>
      <c r="U5">
        <v>11913</v>
      </c>
      <c r="V5">
        <v>27304</v>
      </c>
      <c r="W5">
        <v>10745</v>
      </c>
      <c r="X5">
        <v>6946</v>
      </c>
      <c r="Y5">
        <v>581</v>
      </c>
      <c r="Z5">
        <v>646</v>
      </c>
      <c r="AA5">
        <v>423</v>
      </c>
      <c r="AB5">
        <v>4196</v>
      </c>
      <c r="AC5">
        <v>1562</v>
      </c>
      <c r="AD5">
        <v>4608</v>
      </c>
      <c r="AE5">
        <v>709</v>
      </c>
      <c r="AF5">
        <v>864</v>
      </c>
      <c r="AG5">
        <v>6529</v>
      </c>
      <c r="AH5">
        <v>17294</v>
      </c>
      <c r="AI5">
        <v>14300</v>
      </c>
      <c r="AJ5">
        <v>11349</v>
      </c>
      <c r="AK5">
        <v>10076</v>
      </c>
      <c r="AL5">
        <v>1544</v>
      </c>
      <c r="AM5">
        <v>4230</v>
      </c>
      <c r="AN5">
        <v>0</v>
      </c>
      <c r="AO5">
        <v>0</v>
      </c>
    </row>
    <row r="6" spans="1:41" s="55" customFormat="1">
      <c r="A6" s="55">
        <v>7204</v>
      </c>
      <c r="B6" t="s">
        <v>6</v>
      </c>
      <c r="C6">
        <v>476880</v>
      </c>
      <c r="D6">
        <v>10667</v>
      </c>
      <c r="E6">
        <v>265</v>
      </c>
      <c r="F6">
        <v>7049</v>
      </c>
      <c r="G6">
        <v>269</v>
      </c>
      <c r="H6">
        <v>3260</v>
      </c>
      <c r="I6">
        <v>0</v>
      </c>
      <c r="J6">
        <v>2444</v>
      </c>
      <c r="K6">
        <v>1300</v>
      </c>
      <c r="L6">
        <v>1845</v>
      </c>
      <c r="M6">
        <v>3489</v>
      </c>
      <c r="N6">
        <v>2949</v>
      </c>
      <c r="O6">
        <v>1412</v>
      </c>
      <c r="P6">
        <v>1981</v>
      </c>
      <c r="Q6">
        <v>8631</v>
      </c>
      <c r="R6">
        <v>5100</v>
      </c>
      <c r="S6">
        <v>5219</v>
      </c>
      <c r="T6">
        <v>4475</v>
      </c>
      <c r="U6">
        <v>30276</v>
      </c>
      <c r="V6">
        <v>64589</v>
      </c>
      <c r="W6">
        <v>31195</v>
      </c>
      <c r="X6">
        <v>19663</v>
      </c>
      <c r="Y6">
        <v>3276</v>
      </c>
      <c r="Z6">
        <v>4493</v>
      </c>
      <c r="AA6">
        <v>9434</v>
      </c>
      <c r="AB6">
        <v>21250</v>
      </c>
      <c r="AC6">
        <v>5539</v>
      </c>
      <c r="AD6">
        <v>19798</v>
      </c>
      <c r="AE6">
        <v>5210</v>
      </c>
      <c r="AF6">
        <v>3852</v>
      </c>
      <c r="AG6">
        <v>26290</v>
      </c>
      <c r="AH6">
        <v>50055</v>
      </c>
      <c r="AI6">
        <v>39708</v>
      </c>
      <c r="AJ6">
        <v>34353</v>
      </c>
      <c r="AK6">
        <v>32255</v>
      </c>
      <c r="AL6">
        <v>5857</v>
      </c>
      <c r="AM6">
        <v>9394</v>
      </c>
      <c r="AN6">
        <v>0</v>
      </c>
      <c r="AO6">
        <v>38</v>
      </c>
    </row>
    <row r="7" spans="1:41">
      <c r="A7">
        <v>3122</v>
      </c>
      <c r="B7" t="s">
        <v>1297</v>
      </c>
      <c r="C7">
        <v>97919</v>
      </c>
      <c r="D7">
        <v>94</v>
      </c>
      <c r="E7">
        <v>33</v>
      </c>
      <c r="F7">
        <v>2191</v>
      </c>
      <c r="G7">
        <v>170</v>
      </c>
      <c r="H7">
        <v>539</v>
      </c>
      <c r="I7">
        <v>93</v>
      </c>
      <c r="J7">
        <v>746</v>
      </c>
      <c r="K7">
        <v>31</v>
      </c>
      <c r="L7">
        <v>1342</v>
      </c>
      <c r="M7">
        <v>798</v>
      </c>
      <c r="N7">
        <v>57</v>
      </c>
      <c r="O7">
        <v>305</v>
      </c>
      <c r="P7">
        <v>353</v>
      </c>
      <c r="Q7">
        <v>1200</v>
      </c>
      <c r="R7">
        <v>829</v>
      </c>
      <c r="S7">
        <v>274</v>
      </c>
      <c r="T7">
        <v>1700</v>
      </c>
      <c r="U7">
        <v>7653</v>
      </c>
      <c r="V7">
        <v>14876</v>
      </c>
      <c r="W7">
        <v>8729</v>
      </c>
      <c r="X7">
        <v>3407</v>
      </c>
      <c r="Y7">
        <v>113</v>
      </c>
      <c r="Z7">
        <v>563</v>
      </c>
      <c r="AA7">
        <v>446</v>
      </c>
      <c r="AB7">
        <v>1735</v>
      </c>
      <c r="AC7">
        <v>888</v>
      </c>
      <c r="AD7">
        <v>1963</v>
      </c>
      <c r="AE7">
        <v>11</v>
      </c>
      <c r="AF7">
        <v>714</v>
      </c>
      <c r="AG7">
        <v>7564</v>
      </c>
      <c r="AH7">
        <v>10770</v>
      </c>
      <c r="AI7">
        <v>9362</v>
      </c>
      <c r="AJ7">
        <v>8694</v>
      </c>
      <c r="AK7">
        <v>7012</v>
      </c>
      <c r="AL7">
        <v>921</v>
      </c>
      <c r="AM7">
        <v>1743</v>
      </c>
      <c r="AN7">
        <v>0</v>
      </c>
      <c r="AO7">
        <v>0</v>
      </c>
    </row>
    <row r="8" spans="1:41">
      <c r="A8">
        <v>8210</v>
      </c>
      <c r="B8" t="s">
        <v>8</v>
      </c>
      <c r="C8">
        <v>301074</v>
      </c>
      <c r="D8">
        <v>1104</v>
      </c>
      <c r="E8">
        <v>241</v>
      </c>
      <c r="F8">
        <v>3358</v>
      </c>
      <c r="G8">
        <v>723</v>
      </c>
      <c r="H8">
        <v>3302</v>
      </c>
      <c r="I8">
        <v>127</v>
      </c>
      <c r="J8">
        <v>1563</v>
      </c>
      <c r="K8">
        <v>174</v>
      </c>
      <c r="L8">
        <v>2298</v>
      </c>
      <c r="M8">
        <v>6422</v>
      </c>
      <c r="N8">
        <v>10176</v>
      </c>
      <c r="O8">
        <v>7043</v>
      </c>
      <c r="P8">
        <v>5892</v>
      </c>
      <c r="Q8">
        <v>445</v>
      </c>
      <c r="R8">
        <v>5973</v>
      </c>
      <c r="S8">
        <v>3324</v>
      </c>
      <c r="T8">
        <v>1955</v>
      </c>
      <c r="U8">
        <v>16851</v>
      </c>
      <c r="V8">
        <v>34312</v>
      </c>
      <c r="W8">
        <v>12966</v>
      </c>
      <c r="X8">
        <v>11443</v>
      </c>
      <c r="Y8">
        <v>2563</v>
      </c>
      <c r="Z8">
        <v>1494</v>
      </c>
      <c r="AA8">
        <v>8006</v>
      </c>
      <c r="AB8">
        <v>7968</v>
      </c>
      <c r="AC8">
        <v>2914</v>
      </c>
      <c r="AD8">
        <v>12924</v>
      </c>
      <c r="AE8">
        <v>11144</v>
      </c>
      <c r="AF8">
        <v>1668</v>
      </c>
      <c r="AG8">
        <v>13282</v>
      </c>
      <c r="AH8">
        <v>28910</v>
      </c>
      <c r="AI8">
        <v>29263</v>
      </c>
      <c r="AJ8">
        <v>19234</v>
      </c>
      <c r="AK8">
        <v>22710</v>
      </c>
      <c r="AL8">
        <v>3449</v>
      </c>
      <c r="AM8">
        <v>5849</v>
      </c>
      <c r="AN8">
        <v>0</v>
      </c>
      <c r="AO8">
        <v>4</v>
      </c>
    </row>
    <row r="9" spans="1:41">
      <c r="A9">
        <v>3111</v>
      </c>
      <c r="B9" t="s">
        <v>10</v>
      </c>
      <c r="C9">
        <v>377654</v>
      </c>
      <c r="D9">
        <v>1171</v>
      </c>
      <c r="E9">
        <v>93</v>
      </c>
      <c r="F9">
        <v>5246</v>
      </c>
      <c r="G9">
        <v>1344</v>
      </c>
      <c r="H9">
        <v>2302</v>
      </c>
      <c r="I9">
        <v>106</v>
      </c>
      <c r="J9">
        <v>1491</v>
      </c>
      <c r="K9">
        <v>1605</v>
      </c>
      <c r="L9">
        <v>1442</v>
      </c>
      <c r="M9">
        <v>1711</v>
      </c>
      <c r="N9">
        <v>601</v>
      </c>
      <c r="O9">
        <v>583</v>
      </c>
      <c r="P9">
        <v>1996</v>
      </c>
      <c r="Q9">
        <v>491</v>
      </c>
      <c r="R9">
        <v>3321</v>
      </c>
      <c r="S9">
        <v>3058</v>
      </c>
      <c r="T9">
        <v>2210</v>
      </c>
      <c r="U9">
        <v>18620</v>
      </c>
      <c r="V9">
        <v>51463</v>
      </c>
      <c r="W9">
        <v>22948</v>
      </c>
      <c r="X9">
        <v>13312</v>
      </c>
      <c r="Y9">
        <v>1794</v>
      </c>
      <c r="Z9">
        <v>2638</v>
      </c>
      <c r="AA9">
        <v>13442</v>
      </c>
      <c r="AB9">
        <v>19797</v>
      </c>
      <c r="AC9">
        <v>3658</v>
      </c>
      <c r="AD9">
        <v>21957</v>
      </c>
      <c r="AE9">
        <v>2125</v>
      </c>
      <c r="AF9">
        <v>3680</v>
      </c>
      <c r="AG9">
        <v>23408</v>
      </c>
      <c r="AH9">
        <v>47627</v>
      </c>
      <c r="AI9">
        <v>36040</v>
      </c>
      <c r="AJ9">
        <v>32127</v>
      </c>
      <c r="AK9">
        <v>22801</v>
      </c>
      <c r="AL9">
        <v>3957</v>
      </c>
      <c r="AM9">
        <v>7384</v>
      </c>
      <c r="AN9">
        <v>0</v>
      </c>
      <c r="AO9">
        <v>105</v>
      </c>
    </row>
    <row r="10" spans="1:41">
      <c r="A10" s="55">
        <v>8214</v>
      </c>
      <c r="B10" t="s">
        <v>12</v>
      </c>
      <c r="C10">
        <v>787549</v>
      </c>
      <c r="D10">
        <v>1469</v>
      </c>
      <c r="E10">
        <v>250</v>
      </c>
      <c r="F10">
        <v>9191</v>
      </c>
      <c r="G10">
        <v>4609</v>
      </c>
      <c r="H10">
        <v>4096</v>
      </c>
      <c r="I10">
        <v>1016</v>
      </c>
      <c r="J10">
        <v>9565</v>
      </c>
      <c r="K10">
        <v>9837</v>
      </c>
      <c r="L10">
        <v>6042</v>
      </c>
      <c r="M10">
        <v>11802</v>
      </c>
      <c r="N10">
        <v>2266</v>
      </c>
      <c r="O10">
        <v>5963</v>
      </c>
      <c r="P10">
        <v>10300</v>
      </c>
      <c r="Q10">
        <v>8990</v>
      </c>
      <c r="R10">
        <v>13674</v>
      </c>
      <c r="S10">
        <v>8717</v>
      </c>
      <c r="T10">
        <v>5429</v>
      </c>
      <c r="U10">
        <v>46099</v>
      </c>
      <c r="V10">
        <v>103405</v>
      </c>
      <c r="W10">
        <v>51627</v>
      </c>
      <c r="X10">
        <v>31558</v>
      </c>
      <c r="Y10">
        <v>6307</v>
      </c>
      <c r="Z10">
        <v>5434</v>
      </c>
      <c r="AA10">
        <v>24846</v>
      </c>
      <c r="AB10">
        <v>30545</v>
      </c>
      <c r="AC10">
        <v>9280</v>
      </c>
      <c r="AD10">
        <v>47473</v>
      </c>
      <c r="AE10">
        <v>8055</v>
      </c>
      <c r="AF10">
        <v>8187</v>
      </c>
      <c r="AG10">
        <v>50312</v>
      </c>
      <c r="AH10">
        <v>68168</v>
      </c>
      <c r="AI10">
        <v>66413</v>
      </c>
      <c r="AJ10">
        <v>47610</v>
      </c>
      <c r="AK10">
        <v>42863</v>
      </c>
      <c r="AL10">
        <v>9177</v>
      </c>
      <c r="AM10">
        <v>16379</v>
      </c>
      <c r="AN10">
        <v>0</v>
      </c>
      <c r="AO10">
        <v>595</v>
      </c>
    </row>
    <row r="11" spans="1:41">
      <c r="A11">
        <v>9310</v>
      </c>
      <c r="B11" t="s">
        <v>54</v>
      </c>
      <c r="C11">
        <v>475033</v>
      </c>
      <c r="D11">
        <v>773</v>
      </c>
      <c r="E11">
        <v>256</v>
      </c>
      <c r="F11">
        <v>6272</v>
      </c>
      <c r="G11">
        <v>594</v>
      </c>
      <c r="H11">
        <v>1834</v>
      </c>
      <c r="I11">
        <v>510</v>
      </c>
      <c r="J11">
        <v>2155</v>
      </c>
      <c r="K11">
        <v>511</v>
      </c>
      <c r="L11">
        <v>2547</v>
      </c>
      <c r="M11">
        <v>2210</v>
      </c>
      <c r="N11">
        <v>1872</v>
      </c>
      <c r="O11">
        <v>310</v>
      </c>
      <c r="P11">
        <v>1467</v>
      </c>
      <c r="Q11">
        <v>9970</v>
      </c>
      <c r="R11">
        <v>5098</v>
      </c>
      <c r="S11">
        <v>5164</v>
      </c>
      <c r="T11">
        <v>4399</v>
      </c>
      <c r="U11">
        <v>24354</v>
      </c>
      <c r="V11">
        <v>61433</v>
      </c>
      <c r="W11">
        <v>39004</v>
      </c>
      <c r="X11">
        <v>20298</v>
      </c>
      <c r="Y11">
        <v>2342</v>
      </c>
      <c r="Z11">
        <v>2874</v>
      </c>
      <c r="AA11">
        <v>5153</v>
      </c>
      <c r="AB11">
        <v>16836</v>
      </c>
      <c r="AC11">
        <v>6460</v>
      </c>
      <c r="AD11">
        <v>18631</v>
      </c>
      <c r="AE11">
        <v>4984</v>
      </c>
      <c r="AF11">
        <v>3197</v>
      </c>
      <c r="AG11">
        <v>33362</v>
      </c>
      <c r="AH11">
        <v>61753</v>
      </c>
      <c r="AI11">
        <v>39081</v>
      </c>
      <c r="AJ11">
        <v>40170</v>
      </c>
      <c r="AK11">
        <v>30930</v>
      </c>
      <c r="AL11">
        <v>6412</v>
      </c>
      <c r="AM11">
        <v>11642</v>
      </c>
      <c r="AN11">
        <v>0</v>
      </c>
      <c r="AO11">
        <v>175</v>
      </c>
    </row>
    <row r="12" spans="1:41">
      <c r="A12">
        <v>9111</v>
      </c>
      <c r="B12" t="s">
        <v>15</v>
      </c>
      <c r="C12">
        <v>245754</v>
      </c>
      <c r="D12">
        <v>1773</v>
      </c>
      <c r="E12">
        <v>366</v>
      </c>
      <c r="F12">
        <v>2365</v>
      </c>
      <c r="G12">
        <v>151</v>
      </c>
      <c r="H12">
        <v>1002</v>
      </c>
      <c r="I12">
        <v>0</v>
      </c>
      <c r="J12">
        <v>277</v>
      </c>
      <c r="K12">
        <v>278</v>
      </c>
      <c r="L12">
        <v>474</v>
      </c>
      <c r="M12">
        <v>1165</v>
      </c>
      <c r="N12">
        <v>1403</v>
      </c>
      <c r="O12">
        <v>457</v>
      </c>
      <c r="P12">
        <v>453</v>
      </c>
      <c r="Q12">
        <v>175</v>
      </c>
      <c r="R12">
        <v>2057</v>
      </c>
      <c r="S12">
        <v>1730</v>
      </c>
      <c r="T12">
        <v>2419</v>
      </c>
      <c r="U12">
        <v>13596</v>
      </c>
      <c r="V12">
        <v>34178</v>
      </c>
      <c r="W12">
        <v>11466</v>
      </c>
      <c r="X12">
        <v>12140</v>
      </c>
      <c r="Y12">
        <v>2342</v>
      </c>
      <c r="Z12">
        <v>2412</v>
      </c>
      <c r="AA12">
        <v>6266</v>
      </c>
      <c r="AB12">
        <v>8286</v>
      </c>
      <c r="AC12">
        <v>3156</v>
      </c>
      <c r="AD12">
        <v>9169</v>
      </c>
      <c r="AE12">
        <v>6514</v>
      </c>
      <c r="AF12">
        <v>2125</v>
      </c>
      <c r="AG12">
        <v>14323</v>
      </c>
      <c r="AH12">
        <v>36329</v>
      </c>
      <c r="AI12">
        <v>24046</v>
      </c>
      <c r="AJ12">
        <v>16071</v>
      </c>
      <c r="AK12">
        <v>16178</v>
      </c>
      <c r="AL12">
        <v>3657</v>
      </c>
      <c r="AM12">
        <v>6882</v>
      </c>
      <c r="AN12">
        <v>0</v>
      </c>
      <c r="AO12">
        <v>73</v>
      </c>
    </row>
    <row r="13" spans="1:41">
      <c r="A13">
        <v>5203</v>
      </c>
      <c r="B13" t="s">
        <v>17</v>
      </c>
      <c r="C13">
        <v>417639</v>
      </c>
      <c r="D13">
        <v>4564</v>
      </c>
      <c r="E13">
        <v>371</v>
      </c>
      <c r="F13">
        <v>11537</v>
      </c>
      <c r="G13">
        <v>1240</v>
      </c>
      <c r="H13">
        <v>3693</v>
      </c>
      <c r="I13">
        <v>67</v>
      </c>
      <c r="J13">
        <v>626</v>
      </c>
      <c r="K13">
        <v>80</v>
      </c>
      <c r="L13">
        <v>4022</v>
      </c>
      <c r="M13">
        <v>7115</v>
      </c>
      <c r="N13">
        <v>1919</v>
      </c>
      <c r="O13">
        <v>860</v>
      </c>
      <c r="P13">
        <v>3790</v>
      </c>
      <c r="Q13">
        <v>4857</v>
      </c>
      <c r="R13">
        <v>6414</v>
      </c>
      <c r="S13">
        <v>4200</v>
      </c>
      <c r="T13">
        <v>3042</v>
      </c>
      <c r="U13">
        <v>27724</v>
      </c>
      <c r="V13">
        <v>56629</v>
      </c>
      <c r="W13">
        <v>25954</v>
      </c>
      <c r="X13">
        <v>12708</v>
      </c>
      <c r="Y13">
        <v>3098</v>
      </c>
      <c r="Z13">
        <v>3652</v>
      </c>
      <c r="AA13">
        <v>16060</v>
      </c>
      <c r="AB13">
        <v>18717</v>
      </c>
      <c r="AC13">
        <v>3709</v>
      </c>
      <c r="AD13">
        <v>21385</v>
      </c>
      <c r="AE13">
        <v>2700</v>
      </c>
      <c r="AF13">
        <v>3645</v>
      </c>
      <c r="AG13">
        <v>24559</v>
      </c>
      <c r="AH13">
        <v>41395</v>
      </c>
      <c r="AI13">
        <v>32829</v>
      </c>
      <c r="AJ13">
        <v>24529</v>
      </c>
      <c r="AK13">
        <v>25843</v>
      </c>
      <c r="AL13">
        <v>5441</v>
      </c>
      <c r="AM13">
        <v>8645</v>
      </c>
      <c r="AN13">
        <v>0</v>
      </c>
      <c r="AO13">
        <v>20</v>
      </c>
    </row>
    <row r="14" spans="1:41">
      <c r="A14">
        <v>9307</v>
      </c>
      <c r="B14" t="s">
        <v>19</v>
      </c>
      <c r="C14">
        <v>212471</v>
      </c>
      <c r="D14">
        <v>461</v>
      </c>
      <c r="E14">
        <v>138</v>
      </c>
      <c r="F14">
        <v>2483</v>
      </c>
      <c r="G14">
        <v>299</v>
      </c>
      <c r="H14">
        <v>542</v>
      </c>
      <c r="I14">
        <v>0</v>
      </c>
      <c r="J14">
        <v>1666</v>
      </c>
      <c r="K14">
        <v>1940</v>
      </c>
      <c r="L14">
        <v>633</v>
      </c>
      <c r="M14">
        <v>651</v>
      </c>
      <c r="N14">
        <v>289</v>
      </c>
      <c r="O14">
        <v>598</v>
      </c>
      <c r="P14">
        <v>551</v>
      </c>
      <c r="Q14">
        <v>78</v>
      </c>
      <c r="R14">
        <v>1899</v>
      </c>
      <c r="S14">
        <v>1373</v>
      </c>
      <c r="T14">
        <v>2048</v>
      </c>
      <c r="U14">
        <v>13446</v>
      </c>
      <c r="V14">
        <v>31470</v>
      </c>
      <c r="W14">
        <v>13211</v>
      </c>
      <c r="X14">
        <v>15170</v>
      </c>
      <c r="Y14">
        <v>980</v>
      </c>
      <c r="Z14">
        <v>918</v>
      </c>
      <c r="AA14">
        <v>919</v>
      </c>
      <c r="AB14">
        <v>6560</v>
      </c>
      <c r="AC14">
        <v>3302</v>
      </c>
      <c r="AD14">
        <v>6221</v>
      </c>
      <c r="AE14">
        <v>662</v>
      </c>
      <c r="AF14">
        <v>1777</v>
      </c>
      <c r="AG14">
        <v>13910</v>
      </c>
      <c r="AH14">
        <v>30708</v>
      </c>
      <c r="AI14">
        <v>17911</v>
      </c>
      <c r="AJ14">
        <v>17772</v>
      </c>
      <c r="AK14">
        <v>13070</v>
      </c>
      <c r="AL14">
        <v>2594</v>
      </c>
      <c r="AM14">
        <v>6180</v>
      </c>
      <c r="AN14">
        <v>0</v>
      </c>
      <c r="AO14">
        <v>41</v>
      </c>
    </row>
    <row r="15" spans="1:41">
      <c r="A15">
        <v>5312</v>
      </c>
      <c r="B15" t="s">
        <v>21</v>
      </c>
      <c r="C15">
        <v>299912</v>
      </c>
      <c r="D15">
        <v>2977</v>
      </c>
      <c r="E15">
        <v>299</v>
      </c>
      <c r="F15">
        <v>13512</v>
      </c>
      <c r="G15">
        <v>223</v>
      </c>
      <c r="H15">
        <v>2704</v>
      </c>
      <c r="I15">
        <v>0</v>
      </c>
      <c r="J15">
        <v>605</v>
      </c>
      <c r="K15">
        <v>131</v>
      </c>
      <c r="L15">
        <v>3229</v>
      </c>
      <c r="M15">
        <v>1811</v>
      </c>
      <c r="N15">
        <v>1852</v>
      </c>
      <c r="O15">
        <v>380</v>
      </c>
      <c r="P15">
        <v>3492</v>
      </c>
      <c r="Q15">
        <v>5254</v>
      </c>
      <c r="R15">
        <v>2371</v>
      </c>
      <c r="S15">
        <v>1495</v>
      </c>
      <c r="T15">
        <v>1985</v>
      </c>
      <c r="U15">
        <v>19164</v>
      </c>
      <c r="V15">
        <v>36934</v>
      </c>
      <c r="W15">
        <v>20462</v>
      </c>
      <c r="X15">
        <v>8996</v>
      </c>
      <c r="Y15">
        <v>2623</v>
      </c>
      <c r="Z15">
        <v>4998</v>
      </c>
      <c r="AA15">
        <v>9323</v>
      </c>
      <c r="AB15">
        <v>10315</v>
      </c>
      <c r="AC15">
        <v>2527</v>
      </c>
      <c r="AD15">
        <v>12711</v>
      </c>
      <c r="AE15">
        <v>3108</v>
      </c>
      <c r="AF15">
        <v>2656</v>
      </c>
      <c r="AG15">
        <v>14954</v>
      </c>
      <c r="AH15">
        <v>29065</v>
      </c>
      <c r="AI15">
        <v>30487</v>
      </c>
      <c r="AJ15">
        <v>19227</v>
      </c>
      <c r="AK15">
        <v>20328</v>
      </c>
      <c r="AL15">
        <v>3083</v>
      </c>
      <c r="AM15">
        <v>6617</v>
      </c>
      <c r="AN15">
        <v>0</v>
      </c>
      <c r="AO15">
        <v>14</v>
      </c>
    </row>
    <row r="16" spans="1:41">
      <c r="A16">
        <v>2307</v>
      </c>
      <c r="B16" t="s">
        <v>23</v>
      </c>
      <c r="C16">
        <v>285837</v>
      </c>
      <c r="D16">
        <v>1719</v>
      </c>
      <c r="E16">
        <v>219</v>
      </c>
      <c r="F16">
        <v>5878</v>
      </c>
      <c r="G16">
        <v>491</v>
      </c>
      <c r="H16">
        <v>2794</v>
      </c>
      <c r="I16">
        <v>239</v>
      </c>
      <c r="J16">
        <v>2752</v>
      </c>
      <c r="K16">
        <v>5896</v>
      </c>
      <c r="L16">
        <v>3433</v>
      </c>
      <c r="M16">
        <v>4827</v>
      </c>
      <c r="N16">
        <v>895</v>
      </c>
      <c r="O16">
        <v>1986</v>
      </c>
      <c r="P16">
        <v>2046</v>
      </c>
      <c r="Q16">
        <v>5733</v>
      </c>
      <c r="R16">
        <v>3726</v>
      </c>
      <c r="S16">
        <v>2054</v>
      </c>
      <c r="T16">
        <v>2592</v>
      </c>
      <c r="U16">
        <v>19112</v>
      </c>
      <c r="V16">
        <v>35536</v>
      </c>
      <c r="W16">
        <v>19330</v>
      </c>
      <c r="X16">
        <v>8977</v>
      </c>
      <c r="Y16">
        <v>913</v>
      </c>
      <c r="Z16">
        <v>1614</v>
      </c>
      <c r="AA16">
        <v>1885</v>
      </c>
      <c r="AB16">
        <v>10721</v>
      </c>
      <c r="AC16">
        <v>3384</v>
      </c>
      <c r="AD16">
        <v>8856</v>
      </c>
      <c r="AE16">
        <v>334</v>
      </c>
      <c r="AF16">
        <v>1501</v>
      </c>
      <c r="AG16">
        <v>15491</v>
      </c>
      <c r="AH16">
        <v>32413</v>
      </c>
      <c r="AI16">
        <v>26379</v>
      </c>
      <c r="AJ16">
        <v>20438</v>
      </c>
      <c r="AK16">
        <v>22392</v>
      </c>
      <c r="AL16">
        <v>3512</v>
      </c>
      <c r="AM16">
        <v>5769</v>
      </c>
      <c r="AN16">
        <v>0</v>
      </c>
      <c r="AO16">
        <v>0</v>
      </c>
    </row>
    <row r="17" spans="1:41">
      <c r="A17">
        <v>4205</v>
      </c>
      <c r="B17" t="s">
        <v>25</v>
      </c>
      <c r="C17">
        <v>258824</v>
      </c>
      <c r="D17">
        <v>819</v>
      </c>
      <c r="E17">
        <v>103</v>
      </c>
      <c r="F17">
        <v>6911</v>
      </c>
      <c r="G17">
        <v>275</v>
      </c>
      <c r="H17">
        <v>1690</v>
      </c>
      <c r="I17">
        <v>16</v>
      </c>
      <c r="J17">
        <v>806</v>
      </c>
      <c r="K17">
        <v>2690</v>
      </c>
      <c r="L17">
        <v>995</v>
      </c>
      <c r="M17">
        <v>1427</v>
      </c>
      <c r="N17">
        <v>867</v>
      </c>
      <c r="O17">
        <v>2186</v>
      </c>
      <c r="P17">
        <v>1463</v>
      </c>
      <c r="Q17">
        <v>1388</v>
      </c>
      <c r="R17">
        <v>2706</v>
      </c>
      <c r="S17">
        <v>1790</v>
      </c>
      <c r="T17">
        <v>2156</v>
      </c>
      <c r="U17">
        <v>12540</v>
      </c>
      <c r="V17">
        <v>39579</v>
      </c>
      <c r="W17">
        <v>16757</v>
      </c>
      <c r="X17">
        <v>11946</v>
      </c>
      <c r="Y17">
        <v>2163</v>
      </c>
      <c r="Z17">
        <v>1596</v>
      </c>
      <c r="AA17">
        <v>4835</v>
      </c>
      <c r="AB17">
        <v>12784</v>
      </c>
      <c r="AC17">
        <v>2669</v>
      </c>
      <c r="AD17">
        <v>10167</v>
      </c>
      <c r="AE17">
        <v>3158</v>
      </c>
      <c r="AF17">
        <v>2364</v>
      </c>
      <c r="AG17">
        <v>16812</v>
      </c>
      <c r="AH17">
        <v>27951</v>
      </c>
      <c r="AI17">
        <v>20421</v>
      </c>
      <c r="AJ17">
        <v>20652</v>
      </c>
      <c r="AK17">
        <v>15516</v>
      </c>
      <c r="AL17">
        <v>2188</v>
      </c>
      <c r="AM17">
        <v>6273</v>
      </c>
      <c r="AN17">
        <v>0</v>
      </c>
      <c r="AO17">
        <v>165</v>
      </c>
    </row>
    <row r="18" spans="1:41">
      <c r="A18">
        <v>9315</v>
      </c>
      <c r="B18" t="s">
        <v>55</v>
      </c>
      <c r="C18">
        <v>169464</v>
      </c>
      <c r="D18">
        <v>1816</v>
      </c>
      <c r="E18">
        <v>113</v>
      </c>
      <c r="F18">
        <v>2496</v>
      </c>
      <c r="G18">
        <v>112</v>
      </c>
      <c r="H18">
        <v>399</v>
      </c>
      <c r="I18">
        <v>0</v>
      </c>
      <c r="J18">
        <v>171</v>
      </c>
      <c r="K18">
        <v>73</v>
      </c>
      <c r="L18">
        <v>347</v>
      </c>
      <c r="M18">
        <v>603</v>
      </c>
      <c r="N18">
        <v>407</v>
      </c>
      <c r="O18">
        <v>337</v>
      </c>
      <c r="P18">
        <v>118</v>
      </c>
      <c r="Q18">
        <v>2881</v>
      </c>
      <c r="R18">
        <v>1554</v>
      </c>
      <c r="S18">
        <v>1166</v>
      </c>
      <c r="T18">
        <v>1782</v>
      </c>
      <c r="U18">
        <v>10689</v>
      </c>
      <c r="V18">
        <v>26267</v>
      </c>
      <c r="W18">
        <v>7983</v>
      </c>
      <c r="X18">
        <v>8445</v>
      </c>
      <c r="Y18">
        <v>350</v>
      </c>
      <c r="Z18">
        <v>1070</v>
      </c>
      <c r="AA18">
        <v>987</v>
      </c>
      <c r="AB18">
        <v>4496</v>
      </c>
      <c r="AC18">
        <v>2638</v>
      </c>
      <c r="AD18">
        <v>5694</v>
      </c>
      <c r="AE18">
        <v>179</v>
      </c>
      <c r="AF18">
        <v>1270</v>
      </c>
      <c r="AG18">
        <v>7778</v>
      </c>
      <c r="AH18">
        <v>24922</v>
      </c>
      <c r="AI18">
        <v>15419</v>
      </c>
      <c r="AJ18">
        <v>14760</v>
      </c>
      <c r="AK18">
        <v>15528</v>
      </c>
      <c r="AL18">
        <v>2501</v>
      </c>
      <c r="AM18">
        <v>4113</v>
      </c>
      <c r="AN18">
        <v>0</v>
      </c>
      <c r="AO18">
        <v>0</v>
      </c>
    </row>
    <row r="19" spans="1:41">
      <c r="A19">
        <v>61</v>
      </c>
      <c r="B19" t="s">
        <v>27</v>
      </c>
      <c r="C19">
        <v>554440</v>
      </c>
      <c r="D19">
        <v>2311</v>
      </c>
      <c r="E19">
        <v>297</v>
      </c>
      <c r="F19">
        <v>6948</v>
      </c>
      <c r="G19">
        <v>1037</v>
      </c>
      <c r="H19">
        <v>2443</v>
      </c>
      <c r="I19">
        <v>27</v>
      </c>
      <c r="J19">
        <v>1670</v>
      </c>
      <c r="K19">
        <v>754</v>
      </c>
      <c r="L19">
        <v>3370</v>
      </c>
      <c r="M19">
        <v>7640</v>
      </c>
      <c r="N19">
        <v>4896</v>
      </c>
      <c r="O19">
        <v>1339</v>
      </c>
      <c r="P19">
        <v>1615</v>
      </c>
      <c r="Q19">
        <v>34533</v>
      </c>
      <c r="R19">
        <v>4570</v>
      </c>
      <c r="S19">
        <v>4369</v>
      </c>
      <c r="T19">
        <v>3434</v>
      </c>
      <c r="U19">
        <v>33725</v>
      </c>
      <c r="V19">
        <v>65340</v>
      </c>
      <c r="W19">
        <v>32416</v>
      </c>
      <c r="X19">
        <v>19736</v>
      </c>
      <c r="Y19">
        <v>4431</v>
      </c>
      <c r="Z19">
        <v>4489</v>
      </c>
      <c r="AA19">
        <v>17934</v>
      </c>
      <c r="AB19">
        <v>16775</v>
      </c>
      <c r="AC19">
        <v>5512</v>
      </c>
      <c r="AD19">
        <v>38434</v>
      </c>
      <c r="AE19">
        <v>9951</v>
      </c>
      <c r="AF19">
        <v>4030</v>
      </c>
      <c r="AG19">
        <v>29771</v>
      </c>
      <c r="AH19">
        <v>54542</v>
      </c>
      <c r="AI19">
        <v>50669</v>
      </c>
      <c r="AJ19">
        <v>34121</v>
      </c>
      <c r="AK19">
        <v>32792</v>
      </c>
      <c r="AL19">
        <v>7716</v>
      </c>
      <c r="AM19">
        <v>10785</v>
      </c>
      <c r="AN19">
        <v>0</v>
      </c>
      <c r="AO19">
        <v>18</v>
      </c>
    </row>
    <row r="20" spans="1:41">
      <c r="A20">
        <v>2</v>
      </c>
      <c r="B20" t="s">
        <v>29</v>
      </c>
      <c r="C20">
        <v>913597</v>
      </c>
      <c r="D20">
        <v>2819</v>
      </c>
      <c r="E20">
        <v>533</v>
      </c>
      <c r="F20">
        <v>11844</v>
      </c>
      <c r="G20">
        <v>6131</v>
      </c>
      <c r="H20">
        <v>5391</v>
      </c>
      <c r="I20">
        <v>1016</v>
      </c>
      <c r="J20">
        <v>11442</v>
      </c>
      <c r="K20">
        <v>10434</v>
      </c>
      <c r="L20">
        <v>9577</v>
      </c>
      <c r="M20">
        <v>14787</v>
      </c>
      <c r="N20">
        <v>3088</v>
      </c>
      <c r="O20">
        <v>7062</v>
      </c>
      <c r="P20">
        <v>13214</v>
      </c>
      <c r="Q20">
        <v>9785</v>
      </c>
      <c r="R20">
        <v>16016</v>
      </c>
      <c r="S20">
        <v>11276</v>
      </c>
      <c r="T20">
        <v>6949</v>
      </c>
      <c r="U20">
        <v>54993</v>
      </c>
      <c r="V20">
        <v>125843</v>
      </c>
      <c r="W20">
        <v>63935</v>
      </c>
      <c r="X20">
        <v>35773</v>
      </c>
      <c r="Y20">
        <v>6582</v>
      </c>
      <c r="Z20">
        <v>5871</v>
      </c>
      <c r="AA20">
        <v>25239</v>
      </c>
      <c r="AB20">
        <v>33170</v>
      </c>
      <c r="AC20">
        <v>10361</v>
      </c>
      <c r="AD20">
        <v>52064</v>
      </c>
      <c r="AE20">
        <v>8104</v>
      </c>
      <c r="AF20">
        <v>8711</v>
      </c>
      <c r="AG20">
        <v>56565</v>
      </c>
      <c r="AH20">
        <v>75544</v>
      </c>
      <c r="AI20">
        <v>76110</v>
      </c>
      <c r="AJ20">
        <v>53833</v>
      </c>
      <c r="AK20">
        <v>49958</v>
      </c>
      <c r="AL20">
        <v>10247</v>
      </c>
      <c r="AM20">
        <v>18735</v>
      </c>
      <c r="AN20">
        <v>0</v>
      </c>
      <c r="AO20">
        <v>595</v>
      </c>
    </row>
    <row r="21" spans="1:41">
      <c r="A21">
        <v>3</v>
      </c>
      <c r="B21" t="s">
        <v>59</v>
      </c>
      <c r="C21">
        <v>647630</v>
      </c>
      <c r="D21">
        <v>1874</v>
      </c>
      <c r="E21">
        <v>355</v>
      </c>
      <c r="F21">
        <v>8402</v>
      </c>
      <c r="G21">
        <v>697</v>
      </c>
      <c r="H21">
        <v>1987</v>
      </c>
      <c r="I21">
        <v>1487</v>
      </c>
      <c r="J21">
        <v>4146</v>
      </c>
      <c r="K21">
        <v>343</v>
      </c>
      <c r="L21">
        <v>3005</v>
      </c>
      <c r="M21">
        <v>6907</v>
      </c>
      <c r="N21">
        <v>5718</v>
      </c>
      <c r="O21">
        <v>396</v>
      </c>
      <c r="P21">
        <v>1848</v>
      </c>
      <c r="Q21">
        <v>10785</v>
      </c>
      <c r="R21">
        <v>7959</v>
      </c>
      <c r="S21">
        <v>6752</v>
      </c>
      <c r="T21">
        <v>6474</v>
      </c>
      <c r="U21">
        <v>35445</v>
      </c>
      <c r="V21">
        <v>83861</v>
      </c>
      <c r="W21">
        <v>49125</v>
      </c>
      <c r="X21">
        <v>26708</v>
      </c>
      <c r="Y21">
        <v>4111</v>
      </c>
      <c r="Z21">
        <v>3835</v>
      </c>
      <c r="AA21">
        <v>11185</v>
      </c>
      <c r="AB21">
        <v>22622</v>
      </c>
      <c r="AC21">
        <v>8218</v>
      </c>
      <c r="AD21">
        <v>29675</v>
      </c>
      <c r="AE21">
        <v>5697</v>
      </c>
      <c r="AF21">
        <v>5012</v>
      </c>
      <c r="AG21">
        <v>44945</v>
      </c>
      <c r="AH21">
        <v>79055</v>
      </c>
      <c r="AI21">
        <v>54984</v>
      </c>
      <c r="AJ21">
        <v>48778</v>
      </c>
      <c r="AK21">
        <v>41116</v>
      </c>
      <c r="AL21">
        <v>8486</v>
      </c>
      <c r="AM21">
        <v>15462</v>
      </c>
      <c r="AN21">
        <v>0</v>
      </c>
      <c r="AO21">
        <v>175</v>
      </c>
    </row>
    <row r="22" spans="1:41">
      <c r="A22">
        <v>4</v>
      </c>
      <c r="B22" t="s">
        <v>32</v>
      </c>
      <c r="C22">
        <v>522307</v>
      </c>
      <c r="D22">
        <v>1536</v>
      </c>
      <c r="E22">
        <v>250</v>
      </c>
      <c r="F22">
        <v>4701</v>
      </c>
      <c r="G22">
        <v>541</v>
      </c>
      <c r="H22">
        <v>2142</v>
      </c>
      <c r="I22">
        <v>26</v>
      </c>
      <c r="J22">
        <v>980</v>
      </c>
      <c r="K22">
        <v>748</v>
      </c>
      <c r="L22">
        <v>2556</v>
      </c>
      <c r="M22">
        <v>7105</v>
      </c>
      <c r="N22">
        <v>4907</v>
      </c>
      <c r="O22">
        <v>1337</v>
      </c>
      <c r="P22">
        <v>1499</v>
      </c>
      <c r="Q22">
        <v>34140</v>
      </c>
      <c r="R22">
        <v>4012</v>
      </c>
      <c r="S22">
        <v>4278</v>
      </c>
      <c r="T22">
        <v>3007</v>
      </c>
      <c r="U22">
        <v>31434</v>
      </c>
      <c r="V22">
        <v>60509</v>
      </c>
      <c r="W22">
        <v>31066</v>
      </c>
      <c r="X22">
        <v>18744</v>
      </c>
      <c r="Y22">
        <v>4386</v>
      </c>
      <c r="Z22">
        <v>4488</v>
      </c>
      <c r="AA22">
        <v>17889</v>
      </c>
      <c r="AB22">
        <v>16184</v>
      </c>
      <c r="AC22">
        <v>5353</v>
      </c>
      <c r="AD22">
        <v>37889</v>
      </c>
      <c r="AE22">
        <v>9888</v>
      </c>
      <c r="AF22">
        <v>3780</v>
      </c>
      <c r="AG22">
        <v>29257</v>
      </c>
      <c r="AH22">
        <v>51963</v>
      </c>
      <c r="AI22">
        <v>47587</v>
      </c>
      <c r="AJ22">
        <v>31602</v>
      </c>
      <c r="AK22">
        <v>28827</v>
      </c>
      <c r="AL22">
        <v>7474</v>
      </c>
      <c r="AM22">
        <v>10204</v>
      </c>
      <c r="AN22">
        <v>0</v>
      </c>
      <c r="AO22">
        <v>18</v>
      </c>
    </row>
    <row r="23" spans="1:41">
      <c r="A23">
        <v>5</v>
      </c>
      <c r="B23" t="s">
        <v>34</v>
      </c>
      <c r="C23">
        <v>500724</v>
      </c>
      <c r="D23">
        <v>1922</v>
      </c>
      <c r="E23">
        <v>93</v>
      </c>
      <c r="F23">
        <v>6999</v>
      </c>
      <c r="G23">
        <v>4094</v>
      </c>
      <c r="H23">
        <v>4824</v>
      </c>
      <c r="I23">
        <v>148</v>
      </c>
      <c r="J23">
        <v>2388</v>
      </c>
      <c r="K23">
        <v>1981</v>
      </c>
      <c r="L23">
        <v>2474</v>
      </c>
      <c r="M23">
        <v>2525</v>
      </c>
      <c r="N23">
        <v>853</v>
      </c>
      <c r="O23">
        <v>776</v>
      </c>
      <c r="P23">
        <v>2169</v>
      </c>
      <c r="Q23">
        <v>745</v>
      </c>
      <c r="R23">
        <v>5094</v>
      </c>
      <c r="S23">
        <v>3511</v>
      </c>
      <c r="T23">
        <v>3463</v>
      </c>
      <c r="U23">
        <v>25045</v>
      </c>
      <c r="V23">
        <v>77879</v>
      </c>
      <c r="W23">
        <v>28586</v>
      </c>
      <c r="X23">
        <v>16334</v>
      </c>
      <c r="Y23">
        <v>2916</v>
      </c>
      <c r="Z23">
        <v>2783</v>
      </c>
      <c r="AA23">
        <v>16949</v>
      </c>
      <c r="AB23">
        <v>26093</v>
      </c>
      <c r="AC23">
        <v>5130</v>
      </c>
      <c r="AD23">
        <v>28030</v>
      </c>
      <c r="AE23">
        <v>2212</v>
      </c>
      <c r="AF23">
        <v>4883</v>
      </c>
      <c r="AG23">
        <v>33128</v>
      </c>
      <c r="AH23">
        <v>55677</v>
      </c>
      <c r="AI23">
        <v>45483</v>
      </c>
      <c r="AJ23">
        <v>36668</v>
      </c>
      <c r="AK23">
        <v>33701</v>
      </c>
      <c r="AL23">
        <v>5154</v>
      </c>
      <c r="AM23">
        <v>9909</v>
      </c>
      <c r="AN23">
        <v>0</v>
      </c>
      <c r="AO23">
        <v>105</v>
      </c>
    </row>
    <row r="24" spans="1:41">
      <c r="A24">
        <v>6</v>
      </c>
      <c r="B24" t="s">
        <v>61</v>
      </c>
      <c r="C24">
        <v>455631</v>
      </c>
      <c r="D24">
        <v>8290</v>
      </c>
      <c r="E24">
        <v>227</v>
      </c>
      <c r="F24">
        <v>6263</v>
      </c>
      <c r="G24">
        <v>258</v>
      </c>
      <c r="H24">
        <v>3160</v>
      </c>
      <c r="I24">
        <v>0</v>
      </c>
      <c r="J24">
        <v>2432</v>
      </c>
      <c r="K24">
        <v>1300</v>
      </c>
      <c r="L24">
        <v>1622</v>
      </c>
      <c r="M24">
        <v>3208</v>
      </c>
      <c r="N24">
        <v>2949</v>
      </c>
      <c r="O24">
        <v>1376</v>
      </c>
      <c r="P24">
        <v>1791</v>
      </c>
      <c r="Q24">
        <v>8630</v>
      </c>
      <c r="R24">
        <v>4718</v>
      </c>
      <c r="S24">
        <v>3498</v>
      </c>
      <c r="T24">
        <v>4436</v>
      </c>
      <c r="U24">
        <v>28825</v>
      </c>
      <c r="V24">
        <v>61942</v>
      </c>
      <c r="W24">
        <v>30535</v>
      </c>
      <c r="X24">
        <v>19263</v>
      </c>
      <c r="Y24">
        <v>3182</v>
      </c>
      <c r="Z24">
        <v>4479</v>
      </c>
      <c r="AA24">
        <v>9422</v>
      </c>
      <c r="AB24">
        <v>20848</v>
      </c>
      <c r="AC24">
        <v>5476</v>
      </c>
      <c r="AD24">
        <v>19132</v>
      </c>
      <c r="AE24">
        <v>5192</v>
      </c>
      <c r="AF24">
        <v>3809</v>
      </c>
      <c r="AG24">
        <v>25882</v>
      </c>
      <c r="AH24">
        <v>48541</v>
      </c>
      <c r="AI24">
        <v>37932</v>
      </c>
      <c r="AJ24">
        <v>32334</v>
      </c>
      <c r="AK24">
        <v>29767</v>
      </c>
      <c r="AL24">
        <v>5726</v>
      </c>
      <c r="AM24">
        <v>9148</v>
      </c>
      <c r="AN24">
        <v>0</v>
      </c>
      <c r="AO24">
        <v>38</v>
      </c>
    </row>
    <row r="25" spans="1:41">
      <c r="A25">
        <v>7</v>
      </c>
      <c r="B25" t="s">
        <v>37</v>
      </c>
      <c r="C25">
        <v>356350</v>
      </c>
      <c r="D25">
        <v>747</v>
      </c>
      <c r="E25">
        <v>156</v>
      </c>
      <c r="F25">
        <v>3938</v>
      </c>
      <c r="G25">
        <v>473</v>
      </c>
      <c r="H25">
        <v>929</v>
      </c>
      <c r="I25">
        <v>0</v>
      </c>
      <c r="J25">
        <v>4467</v>
      </c>
      <c r="K25">
        <v>2331</v>
      </c>
      <c r="L25">
        <v>972</v>
      </c>
      <c r="M25">
        <v>1403</v>
      </c>
      <c r="N25">
        <v>1968</v>
      </c>
      <c r="O25">
        <v>1211</v>
      </c>
      <c r="P25">
        <v>646</v>
      </c>
      <c r="Q25">
        <v>2274</v>
      </c>
      <c r="R25">
        <v>3024</v>
      </c>
      <c r="S25">
        <v>1775</v>
      </c>
      <c r="T25">
        <v>2996</v>
      </c>
      <c r="U25">
        <v>20789</v>
      </c>
      <c r="V25">
        <v>54302</v>
      </c>
      <c r="W25">
        <v>17725</v>
      </c>
      <c r="X25">
        <v>26954</v>
      </c>
      <c r="Y25">
        <v>1872</v>
      </c>
      <c r="Z25">
        <v>1985</v>
      </c>
      <c r="AA25">
        <v>10533</v>
      </c>
      <c r="AB25">
        <v>10026</v>
      </c>
      <c r="AC25">
        <v>5741</v>
      </c>
      <c r="AD25">
        <v>13221</v>
      </c>
      <c r="AE25">
        <v>3865</v>
      </c>
      <c r="AF25">
        <v>2946</v>
      </c>
      <c r="AG25">
        <v>24233</v>
      </c>
      <c r="AH25">
        <v>42990</v>
      </c>
      <c r="AI25">
        <v>28083</v>
      </c>
      <c r="AJ25">
        <v>26158</v>
      </c>
      <c r="AK25">
        <v>21392</v>
      </c>
      <c r="AL25">
        <v>4882</v>
      </c>
      <c r="AM25">
        <v>9302</v>
      </c>
      <c r="AN25">
        <v>0</v>
      </c>
      <c r="AO25">
        <v>41</v>
      </c>
    </row>
    <row r="26" spans="1:41">
      <c r="A26">
        <v>8</v>
      </c>
      <c r="B26" t="s">
        <v>39</v>
      </c>
      <c r="C26">
        <v>376980</v>
      </c>
      <c r="D26">
        <v>3394</v>
      </c>
      <c r="E26">
        <v>237</v>
      </c>
      <c r="F26">
        <v>7422</v>
      </c>
      <c r="G26">
        <v>1056</v>
      </c>
      <c r="H26">
        <v>2701</v>
      </c>
      <c r="I26">
        <v>67</v>
      </c>
      <c r="J26">
        <v>566</v>
      </c>
      <c r="K26">
        <v>80</v>
      </c>
      <c r="L26">
        <v>3167</v>
      </c>
      <c r="M26">
        <v>5556</v>
      </c>
      <c r="N26">
        <v>1428</v>
      </c>
      <c r="O26">
        <v>827</v>
      </c>
      <c r="P26">
        <v>2031</v>
      </c>
      <c r="Q26">
        <v>4275</v>
      </c>
      <c r="R26">
        <v>5127</v>
      </c>
      <c r="S26">
        <v>4199</v>
      </c>
      <c r="T26">
        <v>2916</v>
      </c>
      <c r="U26">
        <v>23784</v>
      </c>
      <c r="V26">
        <v>50700</v>
      </c>
      <c r="W26">
        <v>24131</v>
      </c>
      <c r="X26">
        <v>11851</v>
      </c>
      <c r="Y26">
        <v>3047</v>
      </c>
      <c r="Z26">
        <v>3652</v>
      </c>
      <c r="AA26">
        <v>16033</v>
      </c>
      <c r="AB26">
        <v>17944</v>
      </c>
      <c r="AC26">
        <v>3613</v>
      </c>
      <c r="AD26">
        <v>20475</v>
      </c>
      <c r="AE26">
        <v>2656</v>
      </c>
      <c r="AF26">
        <v>3486</v>
      </c>
      <c r="AG26">
        <v>22732</v>
      </c>
      <c r="AH26">
        <v>39821</v>
      </c>
      <c r="AI26">
        <v>29708</v>
      </c>
      <c r="AJ26">
        <v>22673</v>
      </c>
      <c r="AK26">
        <v>22593</v>
      </c>
      <c r="AL26">
        <v>5135</v>
      </c>
      <c r="AM26">
        <v>7877</v>
      </c>
      <c r="AN26">
        <v>0</v>
      </c>
      <c r="AO26">
        <v>20</v>
      </c>
    </row>
    <row r="27" spans="1:41">
      <c r="A27">
        <v>9</v>
      </c>
      <c r="B27" t="s">
        <v>41</v>
      </c>
      <c r="C27">
        <v>309708</v>
      </c>
      <c r="D27">
        <v>2228</v>
      </c>
      <c r="E27">
        <v>220</v>
      </c>
      <c r="F27">
        <v>10864</v>
      </c>
      <c r="G27">
        <v>565</v>
      </c>
      <c r="H27">
        <v>2682</v>
      </c>
      <c r="I27">
        <v>16</v>
      </c>
      <c r="J27">
        <v>940</v>
      </c>
      <c r="K27">
        <v>2694</v>
      </c>
      <c r="L27">
        <v>2061</v>
      </c>
      <c r="M27">
        <v>2826</v>
      </c>
      <c r="N27">
        <v>1398</v>
      </c>
      <c r="O27">
        <v>4908</v>
      </c>
      <c r="P27">
        <v>3928</v>
      </c>
      <c r="Q27">
        <v>4175</v>
      </c>
      <c r="R27">
        <v>3644</v>
      </c>
      <c r="S27">
        <v>1914</v>
      </c>
      <c r="T27">
        <v>2468</v>
      </c>
      <c r="U27">
        <v>17172</v>
      </c>
      <c r="V27">
        <v>48290</v>
      </c>
      <c r="W27">
        <v>19293</v>
      </c>
      <c r="X27">
        <v>14444</v>
      </c>
      <c r="Y27">
        <v>2299</v>
      </c>
      <c r="Z27">
        <v>1614</v>
      </c>
      <c r="AA27">
        <v>4969</v>
      </c>
      <c r="AB27">
        <v>13528</v>
      </c>
      <c r="AC27">
        <v>2929</v>
      </c>
      <c r="AD27">
        <v>10863</v>
      </c>
      <c r="AE27">
        <v>3172</v>
      </c>
      <c r="AF27">
        <v>2621</v>
      </c>
      <c r="AG27">
        <v>18275</v>
      </c>
      <c r="AH27">
        <v>29743</v>
      </c>
      <c r="AI27">
        <v>23303</v>
      </c>
      <c r="AJ27">
        <v>22011</v>
      </c>
      <c r="AK27">
        <v>17696</v>
      </c>
      <c r="AL27">
        <v>2474</v>
      </c>
      <c r="AM27">
        <v>7316</v>
      </c>
      <c r="AN27">
        <v>0</v>
      </c>
      <c r="AO27">
        <v>165</v>
      </c>
    </row>
    <row r="28" spans="1:41">
      <c r="A28">
        <v>10</v>
      </c>
      <c r="B28" t="s">
        <v>43</v>
      </c>
      <c r="C28">
        <v>268147</v>
      </c>
      <c r="D28">
        <v>674</v>
      </c>
      <c r="E28">
        <v>206</v>
      </c>
      <c r="F28">
        <v>2370</v>
      </c>
      <c r="G28">
        <v>622</v>
      </c>
      <c r="H28">
        <v>2211</v>
      </c>
      <c r="I28">
        <v>127</v>
      </c>
      <c r="J28">
        <v>1401</v>
      </c>
      <c r="K28">
        <v>174</v>
      </c>
      <c r="L28">
        <v>1435</v>
      </c>
      <c r="M28">
        <v>5773</v>
      </c>
      <c r="N28">
        <v>9855</v>
      </c>
      <c r="O28">
        <v>6768</v>
      </c>
      <c r="P28">
        <v>5474</v>
      </c>
      <c r="Q28">
        <v>200</v>
      </c>
      <c r="R28">
        <v>5540</v>
      </c>
      <c r="S28">
        <v>3112</v>
      </c>
      <c r="T28">
        <v>1848</v>
      </c>
      <c r="U28">
        <v>14342</v>
      </c>
      <c r="V28">
        <v>30050</v>
      </c>
      <c r="W28">
        <v>10408</v>
      </c>
      <c r="X28">
        <v>8495</v>
      </c>
      <c r="Y28">
        <v>2497</v>
      </c>
      <c r="Z28">
        <v>1491</v>
      </c>
      <c r="AA28">
        <v>7983</v>
      </c>
      <c r="AB28">
        <v>7410</v>
      </c>
      <c r="AC28">
        <v>2702</v>
      </c>
      <c r="AD28">
        <v>12378</v>
      </c>
      <c r="AE28">
        <v>11089</v>
      </c>
      <c r="AF28">
        <v>1583</v>
      </c>
      <c r="AG28">
        <v>12189</v>
      </c>
      <c r="AH28">
        <v>26303</v>
      </c>
      <c r="AI28">
        <v>26327</v>
      </c>
      <c r="AJ28">
        <v>18103</v>
      </c>
      <c r="AK28">
        <v>18802</v>
      </c>
      <c r="AL28">
        <v>3109</v>
      </c>
      <c r="AM28">
        <v>5092</v>
      </c>
      <c r="AN28">
        <v>0</v>
      </c>
      <c r="AO28">
        <v>4</v>
      </c>
    </row>
    <row r="29" spans="1:41">
      <c r="A29">
        <v>11</v>
      </c>
      <c r="B29" t="s">
        <v>45</v>
      </c>
      <c r="C29">
        <v>277820</v>
      </c>
      <c r="D29">
        <v>2391</v>
      </c>
      <c r="E29">
        <v>214</v>
      </c>
      <c r="F29">
        <v>10901</v>
      </c>
      <c r="G29">
        <v>167</v>
      </c>
      <c r="H29">
        <v>2289</v>
      </c>
      <c r="I29">
        <v>0</v>
      </c>
      <c r="J29">
        <v>530</v>
      </c>
      <c r="K29">
        <v>86</v>
      </c>
      <c r="L29">
        <v>2535</v>
      </c>
      <c r="M29">
        <v>1284</v>
      </c>
      <c r="N29">
        <v>1122</v>
      </c>
      <c r="O29">
        <v>375</v>
      </c>
      <c r="P29">
        <v>3352</v>
      </c>
      <c r="Q29">
        <v>5071</v>
      </c>
      <c r="R29">
        <v>1984</v>
      </c>
      <c r="S29">
        <v>1485</v>
      </c>
      <c r="T29">
        <v>1755</v>
      </c>
      <c r="U29">
        <v>17324</v>
      </c>
      <c r="V29">
        <v>34165</v>
      </c>
      <c r="W29">
        <v>18513</v>
      </c>
      <c r="X29">
        <v>8545</v>
      </c>
      <c r="Y29">
        <v>2614</v>
      </c>
      <c r="Z29">
        <v>4998</v>
      </c>
      <c r="AA29">
        <v>9311</v>
      </c>
      <c r="AB29">
        <v>9973</v>
      </c>
      <c r="AC29">
        <v>2485</v>
      </c>
      <c r="AD29">
        <v>12340</v>
      </c>
      <c r="AE29">
        <v>2894</v>
      </c>
      <c r="AF29">
        <v>2576</v>
      </c>
      <c r="AG29">
        <v>13802</v>
      </c>
      <c r="AH29">
        <v>28084</v>
      </c>
      <c r="AI29">
        <v>28560</v>
      </c>
      <c r="AJ29">
        <v>18445</v>
      </c>
      <c r="AK29">
        <v>18403</v>
      </c>
      <c r="AL29">
        <v>2948</v>
      </c>
      <c r="AM29">
        <v>6285</v>
      </c>
      <c r="AN29">
        <v>0</v>
      </c>
      <c r="AO29">
        <v>14</v>
      </c>
    </row>
    <row r="30" spans="1:41">
      <c r="A30">
        <v>12</v>
      </c>
      <c r="B30" t="s">
        <v>47</v>
      </c>
      <c r="C30">
        <v>234395</v>
      </c>
      <c r="D30">
        <v>971</v>
      </c>
      <c r="E30">
        <v>188</v>
      </c>
      <c r="F30">
        <v>4321</v>
      </c>
      <c r="G30">
        <v>403</v>
      </c>
      <c r="H30">
        <v>2213</v>
      </c>
      <c r="I30">
        <v>205</v>
      </c>
      <c r="J30">
        <v>1900</v>
      </c>
      <c r="K30">
        <v>1645</v>
      </c>
      <c r="L30">
        <v>1230</v>
      </c>
      <c r="M30">
        <v>2285</v>
      </c>
      <c r="N30">
        <v>758</v>
      </c>
      <c r="O30">
        <v>1472</v>
      </c>
      <c r="P30">
        <v>1444</v>
      </c>
      <c r="Q30">
        <v>4868</v>
      </c>
      <c r="R30">
        <v>2476</v>
      </c>
      <c r="S30">
        <v>2010</v>
      </c>
      <c r="T30">
        <v>2174</v>
      </c>
      <c r="U30">
        <v>15484</v>
      </c>
      <c r="V30">
        <v>30193</v>
      </c>
      <c r="W30">
        <v>16845</v>
      </c>
      <c r="X30">
        <v>7471</v>
      </c>
      <c r="Y30">
        <v>803</v>
      </c>
      <c r="Z30">
        <v>1494</v>
      </c>
      <c r="AA30">
        <v>1597</v>
      </c>
      <c r="AB30">
        <v>10010</v>
      </c>
      <c r="AC30">
        <v>2992</v>
      </c>
      <c r="AD30">
        <v>7832</v>
      </c>
      <c r="AE30">
        <v>298</v>
      </c>
      <c r="AF30">
        <v>1313</v>
      </c>
      <c r="AG30">
        <v>12522</v>
      </c>
      <c r="AH30">
        <v>27965</v>
      </c>
      <c r="AI30">
        <v>22004</v>
      </c>
      <c r="AJ30">
        <v>19153</v>
      </c>
      <c r="AK30">
        <v>17969</v>
      </c>
      <c r="AL30">
        <v>2744</v>
      </c>
      <c r="AM30">
        <v>5143</v>
      </c>
      <c r="AN30">
        <v>0</v>
      </c>
      <c r="AO30">
        <v>0</v>
      </c>
    </row>
    <row r="31" spans="1:41">
      <c r="A31">
        <v>13</v>
      </c>
      <c r="B31" t="s">
        <v>63</v>
      </c>
      <c r="C31">
        <v>169380</v>
      </c>
      <c r="D31">
        <v>1555</v>
      </c>
      <c r="E31">
        <v>69</v>
      </c>
      <c r="F31">
        <v>2418</v>
      </c>
      <c r="G31">
        <v>152</v>
      </c>
      <c r="H31">
        <v>377</v>
      </c>
      <c r="I31">
        <v>0</v>
      </c>
      <c r="J31">
        <v>165</v>
      </c>
      <c r="K31">
        <v>73</v>
      </c>
      <c r="L31">
        <v>538</v>
      </c>
      <c r="M31">
        <v>770</v>
      </c>
      <c r="N31">
        <v>535</v>
      </c>
      <c r="O31">
        <v>394</v>
      </c>
      <c r="P31">
        <v>133</v>
      </c>
      <c r="Q31">
        <v>2928</v>
      </c>
      <c r="R31">
        <v>2153</v>
      </c>
      <c r="S31">
        <v>1124</v>
      </c>
      <c r="T31">
        <v>1677</v>
      </c>
      <c r="U31">
        <v>10171</v>
      </c>
      <c r="V31">
        <v>25522</v>
      </c>
      <c r="W31">
        <v>7252</v>
      </c>
      <c r="X31">
        <v>8807</v>
      </c>
      <c r="Y31">
        <v>495</v>
      </c>
      <c r="Z31">
        <v>1076</v>
      </c>
      <c r="AA31">
        <v>1354</v>
      </c>
      <c r="AB31">
        <v>4555</v>
      </c>
      <c r="AC31">
        <v>2586</v>
      </c>
      <c r="AD31">
        <v>6703</v>
      </c>
      <c r="AE31">
        <v>209</v>
      </c>
      <c r="AF31">
        <v>1276</v>
      </c>
      <c r="AG31">
        <v>7838</v>
      </c>
      <c r="AH31">
        <v>24648</v>
      </c>
      <c r="AI31">
        <v>15326</v>
      </c>
      <c r="AJ31">
        <v>14874</v>
      </c>
      <c r="AK31">
        <v>15045</v>
      </c>
      <c r="AL31">
        <v>2650</v>
      </c>
      <c r="AM31">
        <v>3932</v>
      </c>
      <c r="AN31">
        <v>0</v>
      </c>
      <c r="AO31">
        <v>0</v>
      </c>
    </row>
    <row r="32" spans="1:41">
      <c r="A32">
        <v>14</v>
      </c>
      <c r="B32" t="s">
        <v>64</v>
      </c>
      <c r="C32">
        <v>150532</v>
      </c>
      <c r="D32">
        <v>731</v>
      </c>
      <c r="E32">
        <v>33</v>
      </c>
      <c r="F32">
        <v>3261</v>
      </c>
      <c r="G32">
        <v>177</v>
      </c>
      <c r="H32">
        <v>1277</v>
      </c>
      <c r="I32">
        <v>111</v>
      </c>
      <c r="J32">
        <v>680</v>
      </c>
      <c r="K32">
        <v>31</v>
      </c>
      <c r="L32">
        <v>1534</v>
      </c>
      <c r="M32">
        <v>1606</v>
      </c>
      <c r="N32">
        <v>111</v>
      </c>
      <c r="O32">
        <v>543</v>
      </c>
      <c r="P32">
        <v>578</v>
      </c>
      <c r="Q32">
        <v>6671</v>
      </c>
      <c r="R32">
        <v>1654</v>
      </c>
      <c r="S32">
        <v>732</v>
      </c>
      <c r="T32">
        <v>2325</v>
      </c>
      <c r="U32">
        <v>10294</v>
      </c>
      <c r="V32">
        <v>20403</v>
      </c>
      <c r="W32">
        <v>12872</v>
      </c>
      <c r="X32">
        <v>4699</v>
      </c>
      <c r="Y32">
        <v>157</v>
      </c>
      <c r="Z32">
        <v>653</v>
      </c>
      <c r="AA32">
        <v>679</v>
      </c>
      <c r="AB32">
        <v>2735</v>
      </c>
      <c r="AC32">
        <v>1767</v>
      </c>
      <c r="AD32">
        <v>3314</v>
      </c>
      <c r="AE32">
        <v>76</v>
      </c>
      <c r="AF32">
        <v>1024</v>
      </c>
      <c r="AG32">
        <v>9168</v>
      </c>
      <c r="AH32">
        <v>15716</v>
      </c>
      <c r="AI32">
        <v>14964</v>
      </c>
      <c r="AJ32">
        <v>12625</v>
      </c>
      <c r="AK32">
        <v>13356</v>
      </c>
      <c r="AL32">
        <v>1358</v>
      </c>
      <c r="AM32">
        <v>2617</v>
      </c>
      <c r="AN32">
        <v>0</v>
      </c>
      <c r="AO32">
        <v>0</v>
      </c>
    </row>
    <row r="33" spans="1:41">
      <c r="A33">
        <v>15</v>
      </c>
      <c r="B33" t="s">
        <v>49</v>
      </c>
      <c r="C33">
        <v>226315</v>
      </c>
      <c r="D33">
        <v>1420</v>
      </c>
      <c r="E33">
        <v>207</v>
      </c>
      <c r="F33">
        <v>1956</v>
      </c>
      <c r="G33">
        <v>76</v>
      </c>
      <c r="H33">
        <v>769</v>
      </c>
      <c r="I33">
        <v>0</v>
      </c>
      <c r="J33">
        <v>242</v>
      </c>
      <c r="K33">
        <v>278</v>
      </c>
      <c r="L33">
        <v>372</v>
      </c>
      <c r="M33">
        <v>958</v>
      </c>
      <c r="N33">
        <v>1344</v>
      </c>
      <c r="O33">
        <v>448</v>
      </c>
      <c r="P33">
        <v>418</v>
      </c>
      <c r="Q33">
        <v>76</v>
      </c>
      <c r="R33">
        <v>1902</v>
      </c>
      <c r="S33">
        <v>1672</v>
      </c>
      <c r="T33">
        <v>2072</v>
      </c>
      <c r="U33">
        <v>12480</v>
      </c>
      <c r="V33">
        <v>30507</v>
      </c>
      <c r="W33">
        <v>10221</v>
      </c>
      <c r="X33">
        <v>10553</v>
      </c>
      <c r="Y33">
        <v>2229</v>
      </c>
      <c r="Z33">
        <v>2373</v>
      </c>
      <c r="AA33">
        <v>6214</v>
      </c>
      <c r="AB33">
        <v>7761</v>
      </c>
      <c r="AC33">
        <v>2875</v>
      </c>
      <c r="AD33">
        <v>8994</v>
      </c>
      <c r="AE33">
        <v>6506</v>
      </c>
      <c r="AF33">
        <v>1970</v>
      </c>
      <c r="AG33">
        <v>13031</v>
      </c>
      <c r="AH33">
        <v>34247</v>
      </c>
      <c r="AI33">
        <v>22460</v>
      </c>
      <c r="AJ33">
        <v>15094</v>
      </c>
      <c r="AK33">
        <v>14931</v>
      </c>
      <c r="AL33">
        <v>3163</v>
      </c>
      <c r="AM33">
        <v>6423</v>
      </c>
      <c r="AN33">
        <v>0</v>
      </c>
      <c r="AO33">
        <v>73</v>
      </c>
    </row>
    <row r="34" spans="1:41">
      <c r="A34">
        <v>16</v>
      </c>
      <c r="B34" t="s">
        <v>65</v>
      </c>
      <c r="C34">
        <v>167114</v>
      </c>
      <c r="D34">
        <v>5201</v>
      </c>
      <c r="E34">
        <v>334</v>
      </c>
      <c r="F34">
        <v>5640</v>
      </c>
      <c r="G34">
        <v>243</v>
      </c>
      <c r="H34">
        <v>1072</v>
      </c>
      <c r="I34">
        <v>0</v>
      </c>
      <c r="J34">
        <v>1219</v>
      </c>
      <c r="K34">
        <v>167</v>
      </c>
      <c r="L34">
        <v>2621</v>
      </c>
      <c r="M34">
        <v>1238</v>
      </c>
      <c r="N34">
        <v>39</v>
      </c>
      <c r="O34">
        <v>130</v>
      </c>
      <c r="P34">
        <v>398</v>
      </c>
      <c r="Q34">
        <v>385</v>
      </c>
      <c r="R34">
        <v>1386</v>
      </c>
      <c r="S34">
        <v>867</v>
      </c>
      <c r="T34">
        <v>1438</v>
      </c>
      <c r="U34">
        <v>11091</v>
      </c>
      <c r="V34">
        <v>30070</v>
      </c>
      <c r="W34">
        <v>13154</v>
      </c>
      <c r="X34">
        <v>7117</v>
      </c>
      <c r="Y34">
        <v>625</v>
      </c>
      <c r="Z34">
        <v>670</v>
      </c>
      <c r="AA34">
        <v>600</v>
      </c>
      <c r="AB34">
        <v>4172</v>
      </c>
      <c r="AC34">
        <v>1768</v>
      </c>
      <c r="AD34">
        <v>4980</v>
      </c>
      <c r="AE34">
        <v>889</v>
      </c>
      <c r="AF34">
        <v>1099</v>
      </c>
      <c r="AG34">
        <v>7280</v>
      </c>
      <c r="AH34">
        <v>17124</v>
      </c>
      <c r="AI34">
        <v>15321</v>
      </c>
      <c r="AJ34">
        <v>12312</v>
      </c>
      <c r="AK34">
        <v>10499</v>
      </c>
      <c r="AL34">
        <v>1631</v>
      </c>
      <c r="AM34">
        <v>4334</v>
      </c>
      <c r="AN34">
        <v>0</v>
      </c>
      <c r="AO34">
        <v>0</v>
      </c>
    </row>
    <row r="35" spans="1:41">
      <c r="A35">
        <v>6</v>
      </c>
      <c r="B35" t="s">
        <v>234</v>
      </c>
      <c r="C35">
        <v>372073</v>
      </c>
      <c r="D35">
        <v>760</v>
      </c>
      <c r="E35">
        <v>185</v>
      </c>
      <c r="F35">
        <v>4182</v>
      </c>
      <c r="G35">
        <v>483</v>
      </c>
      <c r="H35">
        <v>959</v>
      </c>
      <c r="I35">
        <v>0</v>
      </c>
      <c r="J35">
        <v>4462</v>
      </c>
      <c r="K35">
        <v>2331</v>
      </c>
      <c r="L35">
        <v>980</v>
      </c>
      <c r="M35">
        <v>1431</v>
      </c>
      <c r="N35">
        <v>1970</v>
      </c>
      <c r="O35">
        <v>1214</v>
      </c>
      <c r="P35">
        <v>656</v>
      </c>
      <c r="Q35">
        <v>2275</v>
      </c>
      <c r="R35">
        <v>3083</v>
      </c>
      <c r="S35">
        <v>1833</v>
      </c>
      <c r="T35">
        <v>3085</v>
      </c>
      <c r="U35">
        <v>21692</v>
      </c>
      <c r="V35">
        <v>56227</v>
      </c>
      <c r="W35">
        <v>18626</v>
      </c>
      <c r="X35">
        <v>29163</v>
      </c>
      <c r="Y35">
        <v>1898</v>
      </c>
      <c r="Z35">
        <v>2009</v>
      </c>
      <c r="AA35">
        <v>10558</v>
      </c>
      <c r="AB35">
        <v>10342</v>
      </c>
      <c r="AC35">
        <v>6139</v>
      </c>
      <c r="AD35">
        <v>13569</v>
      </c>
      <c r="AE35">
        <v>3867</v>
      </c>
      <c r="AF35">
        <v>2978</v>
      </c>
      <c r="AG35">
        <v>24973</v>
      </c>
      <c r="AH35">
        <v>45182</v>
      </c>
      <c r="AI35">
        <v>29685</v>
      </c>
      <c r="AJ35">
        <v>27820</v>
      </c>
      <c r="AK35">
        <v>22521</v>
      </c>
      <c r="AL35">
        <v>5243</v>
      </c>
      <c r="AM35">
        <v>9651</v>
      </c>
      <c r="AN35">
        <v>0</v>
      </c>
      <c r="AO35">
        <v>41</v>
      </c>
    </row>
    <row r="36" spans="1:41">
      <c r="A36">
        <v>13</v>
      </c>
      <c r="B36" t="s">
        <v>235</v>
      </c>
      <c r="C36">
        <v>730664</v>
      </c>
      <c r="D36">
        <v>4774</v>
      </c>
      <c r="E36">
        <v>549</v>
      </c>
      <c r="F36">
        <v>10308</v>
      </c>
      <c r="G36">
        <v>827</v>
      </c>
      <c r="H36">
        <v>2678</v>
      </c>
      <c r="I36">
        <v>1499</v>
      </c>
      <c r="J36">
        <v>4758</v>
      </c>
      <c r="K36">
        <v>383</v>
      </c>
      <c r="L36">
        <v>3738</v>
      </c>
      <c r="M36">
        <v>7851</v>
      </c>
      <c r="N36">
        <v>6233</v>
      </c>
      <c r="O36">
        <v>544</v>
      </c>
      <c r="P36">
        <v>1911</v>
      </c>
      <c r="Q36">
        <v>10836</v>
      </c>
      <c r="R36">
        <v>9703</v>
      </c>
      <c r="S36">
        <v>7113</v>
      </c>
      <c r="T36">
        <v>7181</v>
      </c>
      <c r="U36">
        <v>41222</v>
      </c>
      <c r="V36">
        <v>97112</v>
      </c>
      <c r="W36">
        <v>55829</v>
      </c>
      <c r="X36">
        <v>30811</v>
      </c>
      <c r="Y36">
        <v>4731</v>
      </c>
      <c r="Z36">
        <v>3928</v>
      </c>
      <c r="AA36">
        <v>11716</v>
      </c>
      <c r="AB36">
        <v>24366</v>
      </c>
      <c r="AC36">
        <v>8787</v>
      </c>
      <c r="AD36">
        <v>34085</v>
      </c>
      <c r="AE36">
        <v>8477</v>
      </c>
      <c r="AF36">
        <v>5359</v>
      </c>
      <c r="AG36">
        <v>48206</v>
      </c>
      <c r="AH36">
        <v>85960</v>
      </c>
      <c r="AI36">
        <v>60994</v>
      </c>
      <c r="AJ36">
        <v>54154</v>
      </c>
      <c r="AK36">
        <v>47252</v>
      </c>
      <c r="AL36">
        <v>9483</v>
      </c>
      <c r="AM36">
        <v>17131</v>
      </c>
      <c r="AN36">
        <v>0</v>
      </c>
      <c r="AO36">
        <v>175</v>
      </c>
    </row>
    <row r="37" spans="1:41">
      <c r="A37">
        <v>31</v>
      </c>
      <c r="B37" t="s">
        <v>236</v>
      </c>
      <c r="C37">
        <v>531899</v>
      </c>
      <c r="D37">
        <v>1506</v>
      </c>
      <c r="E37">
        <v>334</v>
      </c>
      <c r="F37">
        <v>5531</v>
      </c>
      <c r="G37">
        <v>548</v>
      </c>
      <c r="H37">
        <v>2443</v>
      </c>
      <c r="I37">
        <v>27</v>
      </c>
      <c r="J37">
        <v>1184</v>
      </c>
      <c r="K37">
        <v>748</v>
      </c>
      <c r="L37">
        <v>2418</v>
      </c>
      <c r="M37">
        <v>6590</v>
      </c>
      <c r="N37">
        <v>5138</v>
      </c>
      <c r="O37">
        <v>1262</v>
      </c>
      <c r="P37">
        <v>1591</v>
      </c>
      <c r="Q37">
        <v>34324</v>
      </c>
      <c r="R37">
        <v>4156</v>
      </c>
      <c r="S37">
        <v>4476</v>
      </c>
      <c r="T37">
        <v>3087</v>
      </c>
      <c r="U37">
        <v>31760</v>
      </c>
      <c r="V37">
        <v>61875</v>
      </c>
      <c r="W37">
        <v>31204</v>
      </c>
      <c r="X37">
        <v>19325</v>
      </c>
      <c r="Y37">
        <v>4417</v>
      </c>
      <c r="Z37">
        <v>4529</v>
      </c>
      <c r="AA37">
        <v>17873</v>
      </c>
      <c r="AB37">
        <v>16431</v>
      </c>
      <c r="AC37">
        <v>5410</v>
      </c>
      <c r="AD37">
        <v>37629</v>
      </c>
      <c r="AE37">
        <v>9860</v>
      </c>
      <c r="AF37">
        <v>3817</v>
      </c>
      <c r="AG37">
        <v>29469</v>
      </c>
      <c r="AH37">
        <v>53387</v>
      </c>
      <c r="AI37">
        <v>47896</v>
      </c>
      <c r="AJ37">
        <v>33390</v>
      </c>
      <c r="AK37">
        <v>30177</v>
      </c>
      <c r="AL37">
        <v>7577</v>
      </c>
      <c r="AM37">
        <v>10492</v>
      </c>
      <c r="AN37">
        <v>0</v>
      </c>
      <c r="AO37">
        <v>18</v>
      </c>
    </row>
    <row r="38" spans="1:41">
      <c r="A38">
        <v>33</v>
      </c>
      <c r="B38" t="s">
        <v>114</v>
      </c>
      <c r="C38">
        <v>546167</v>
      </c>
      <c r="D38">
        <v>19635</v>
      </c>
      <c r="E38">
        <v>364</v>
      </c>
      <c r="F38">
        <v>8401</v>
      </c>
      <c r="G38">
        <v>336</v>
      </c>
      <c r="H38">
        <v>4769</v>
      </c>
      <c r="I38">
        <v>0</v>
      </c>
      <c r="J38">
        <v>2474</v>
      </c>
      <c r="K38">
        <v>1984</v>
      </c>
      <c r="L38">
        <v>2344</v>
      </c>
      <c r="M38">
        <v>3946</v>
      </c>
      <c r="N38">
        <v>3045</v>
      </c>
      <c r="O38">
        <v>1586</v>
      </c>
      <c r="P38">
        <v>2116</v>
      </c>
      <c r="Q38">
        <v>8955</v>
      </c>
      <c r="R38">
        <v>5556</v>
      </c>
      <c r="S38">
        <v>5362</v>
      </c>
      <c r="T38">
        <v>5609</v>
      </c>
      <c r="U38">
        <v>33835</v>
      </c>
      <c r="V38">
        <v>76539</v>
      </c>
      <c r="W38">
        <v>33624</v>
      </c>
      <c r="X38">
        <v>22829</v>
      </c>
      <c r="Y38">
        <v>3447</v>
      </c>
      <c r="Z38">
        <v>4538</v>
      </c>
      <c r="AA38">
        <v>9684</v>
      </c>
      <c r="AB38">
        <v>22789</v>
      </c>
      <c r="AC38">
        <v>6071</v>
      </c>
      <c r="AD38">
        <v>21807</v>
      </c>
      <c r="AE38">
        <v>5340</v>
      </c>
      <c r="AF38">
        <v>4071</v>
      </c>
      <c r="AG38">
        <v>28003</v>
      </c>
      <c r="AH38">
        <v>55612</v>
      </c>
      <c r="AI38">
        <v>45225</v>
      </c>
      <c r="AJ38">
        <v>39976</v>
      </c>
      <c r="AK38">
        <v>38888</v>
      </c>
      <c r="AL38">
        <v>6696</v>
      </c>
      <c r="AM38">
        <v>10673</v>
      </c>
      <c r="AN38">
        <v>0</v>
      </c>
      <c r="AO38">
        <v>38</v>
      </c>
    </row>
    <row r="39" spans="1:41">
      <c r="A39">
        <v>34</v>
      </c>
      <c r="B39" t="s">
        <v>237</v>
      </c>
      <c r="C39">
        <v>350140</v>
      </c>
      <c r="D39">
        <v>4234</v>
      </c>
      <c r="E39">
        <v>407</v>
      </c>
      <c r="F39">
        <v>4637</v>
      </c>
      <c r="G39">
        <v>212</v>
      </c>
      <c r="H39">
        <v>1259</v>
      </c>
      <c r="I39">
        <v>0</v>
      </c>
      <c r="J39">
        <v>1083</v>
      </c>
      <c r="K39">
        <v>324</v>
      </c>
      <c r="L39">
        <v>1266</v>
      </c>
      <c r="M39">
        <v>1943</v>
      </c>
      <c r="N39">
        <v>1427</v>
      </c>
      <c r="O39">
        <v>555</v>
      </c>
      <c r="P39">
        <v>1714</v>
      </c>
      <c r="Q39">
        <v>245</v>
      </c>
      <c r="R39">
        <v>2677</v>
      </c>
      <c r="S39">
        <v>2254</v>
      </c>
      <c r="T39">
        <v>3787</v>
      </c>
      <c r="U39">
        <v>20574</v>
      </c>
      <c r="V39">
        <v>52300</v>
      </c>
      <c r="W39">
        <v>17087</v>
      </c>
      <c r="X39">
        <v>17370</v>
      </c>
      <c r="Y39">
        <v>2549</v>
      </c>
      <c r="Z39">
        <v>2556</v>
      </c>
      <c r="AA39">
        <v>6473</v>
      </c>
      <c r="AB39">
        <v>10886</v>
      </c>
      <c r="AC39">
        <v>4368</v>
      </c>
      <c r="AD39">
        <v>12359</v>
      </c>
      <c r="AE39">
        <v>6573</v>
      </c>
      <c r="AF39">
        <v>2719</v>
      </c>
      <c r="AG39">
        <v>17439</v>
      </c>
      <c r="AH39">
        <v>49520</v>
      </c>
      <c r="AI39">
        <v>33174</v>
      </c>
      <c r="AJ39">
        <v>25113</v>
      </c>
      <c r="AK39">
        <v>26691</v>
      </c>
      <c r="AL39">
        <v>4774</v>
      </c>
      <c r="AM39">
        <v>9518</v>
      </c>
      <c r="AN39">
        <v>0</v>
      </c>
      <c r="AO39">
        <v>73</v>
      </c>
    </row>
    <row r="40" spans="1:41">
      <c r="A40">
        <v>35</v>
      </c>
      <c r="B40" t="s">
        <v>238</v>
      </c>
      <c r="C40">
        <v>382359</v>
      </c>
      <c r="D40">
        <v>4289</v>
      </c>
      <c r="E40">
        <v>417</v>
      </c>
      <c r="F40">
        <v>18311</v>
      </c>
      <c r="G40">
        <v>1031</v>
      </c>
      <c r="H40">
        <v>3551</v>
      </c>
      <c r="I40">
        <v>0</v>
      </c>
      <c r="J40">
        <v>2388</v>
      </c>
      <c r="K40">
        <v>480</v>
      </c>
      <c r="L40">
        <v>5658</v>
      </c>
      <c r="M40">
        <v>2857</v>
      </c>
      <c r="N40">
        <v>3872</v>
      </c>
      <c r="O40">
        <v>483</v>
      </c>
      <c r="P40">
        <v>3937</v>
      </c>
      <c r="Q40">
        <v>5904</v>
      </c>
      <c r="R40">
        <v>4130</v>
      </c>
      <c r="S40">
        <v>1705</v>
      </c>
      <c r="T40">
        <v>2763</v>
      </c>
      <c r="U40">
        <v>24199</v>
      </c>
      <c r="V40">
        <v>49176</v>
      </c>
      <c r="W40">
        <v>24616</v>
      </c>
      <c r="X40">
        <v>12994</v>
      </c>
      <c r="Y40">
        <v>2752</v>
      </c>
      <c r="Z40">
        <v>5057</v>
      </c>
      <c r="AA40">
        <v>9634</v>
      </c>
      <c r="AB40">
        <v>11872</v>
      </c>
      <c r="AC40">
        <v>3116</v>
      </c>
      <c r="AD40">
        <v>15399</v>
      </c>
      <c r="AE40">
        <v>3416</v>
      </c>
      <c r="AF40">
        <v>3080</v>
      </c>
      <c r="AG40">
        <v>17543</v>
      </c>
      <c r="AH40">
        <v>34573</v>
      </c>
      <c r="AI40">
        <v>36979</v>
      </c>
      <c r="AJ40">
        <v>25596</v>
      </c>
      <c r="AK40">
        <v>28581</v>
      </c>
      <c r="AL40">
        <v>3778</v>
      </c>
      <c r="AM40">
        <v>8208</v>
      </c>
      <c r="AN40">
        <v>0</v>
      </c>
      <c r="AO40">
        <v>14</v>
      </c>
    </row>
    <row r="41" spans="1:41">
      <c r="A41">
        <v>38</v>
      </c>
      <c r="B41" t="s">
        <v>239</v>
      </c>
      <c r="C41">
        <v>418572</v>
      </c>
      <c r="D41">
        <v>1668</v>
      </c>
      <c r="E41">
        <v>433</v>
      </c>
      <c r="F41">
        <v>7022</v>
      </c>
      <c r="G41">
        <v>3135</v>
      </c>
      <c r="H41">
        <v>3983</v>
      </c>
      <c r="I41">
        <v>127</v>
      </c>
      <c r="J41">
        <v>3621</v>
      </c>
      <c r="K41">
        <v>1054</v>
      </c>
      <c r="L41">
        <v>5248</v>
      </c>
      <c r="M41">
        <v>10259</v>
      </c>
      <c r="N41">
        <v>10868</v>
      </c>
      <c r="O41">
        <v>8814</v>
      </c>
      <c r="P41">
        <v>7340</v>
      </c>
      <c r="Q41">
        <v>1053</v>
      </c>
      <c r="R41">
        <v>8038</v>
      </c>
      <c r="S41">
        <v>5109</v>
      </c>
      <c r="T41">
        <v>3475</v>
      </c>
      <c r="U41">
        <v>26833</v>
      </c>
      <c r="V41">
        <v>54127</v>
      </c>
      <c r="W41">
        <v>22807</v>
      </c>
      <c r="X41">
        <v>14896</v>
      </c>
      <c r="Y41">
        <v>2769</v>
      </c>
      <c r="Z41">
        <v>1912</v>
      </c>
      <c r="AA41">
        <v>8402</v>
      </c>
      <c r="AB41">
        <v>10421</v>
      </c>
      <c r="AC41">
        <v>3799</v>
      </c>
      <c r="AD41">
        <v>17021</v>
      </c>
      <c r="AE41">
        <v>11193</v>
      </c>
      <c r="AF41">
        <v>2261</v>
      </c>
      <c r="AG41">
        <v>18198</v>
      </c>
      <c r="AH41">
        <v>36258</v>
      </c>
      <c r="AI41">
        <v>38833</v>
      </c>
      <c r="AJ41">
        <v>25395</v>
      </c>
      <c r="AK41">
        <v>30150</v>
      </c>
      <c r="AL41">
        <v>4294</v>
      </c>
      <c r="AM41">
        <v>7752</v>
      </c>
      <c r="AN41">
        <v>0</v>
      </c>
      <c r="AO41">
        <v>4</v>
      </c>
    </row>
    <row r="42" spans="1:41">
      <c r="A42">
        <v>44</v>
      </c>
      <c r="B42" t="s">
        <v>240</v>
      </c>
      <c r="C42">
        <v>506628</v>
      </c>
      <c r="D42">
        <v>5184</v>
      </c>
      <c r="E42">
        <v>470</v>
      </c>
      <c r="F42">
        <v>12552</v>
      </c>
      <c r="G42">
        <v>1615</v>
      </c>
      <c r="H42">
        <v>3641</v>
      </c>
      <c r="I42">
        <v>759</v>
      </c>
      <c r="J42">
        <v>820</v>
      </c>
      <c r="K42">
        <v>190</v>
      </c>
      <c r="L42">
        <v>5196</v>
      </c>
      <c r="M42">
        <v>9938</v>
      </c>
      <c r="N42">
        <v>1581</v>
      </c>
      <c r="O42">
        <v>1116</v>
      </c>
      <c r="P42">
        <v>5602</v>
      </c>
      <c r="Q42">
        <v>12168</v>
      </c>
      <c r="R42">
        <v>7711</v>
      </c>
      <c r="S42">
        <v>4612</v>
      </c>
      <c r="T42">
        <v>3835</v>
      </c>
      <c r="U42">
        <v>33963</v>
      </c>
      <c r="V42">
        <v>69322</v>
      </c>
      <c r="W42">
        <v>31125</v>
      </c>
      <c r="X42">
        <v>17394</v>
      </c>
      <c r="Y42">
        <v>3266</v>
      </c>
      <c r="Z42">
        <v>3954</v>
      </c>
      <c r="AA42">
        <v>16281</v>
      </c>
      <c r="AB42">
        <v>20193</v>
      </c>
      <c r="AC42">
        <v>4532</v>
      </c>
      <c r="AD42">
        <v>24190</v>
      </c>
      <c r="AE42">
        <v>2771</v>
      </c>
      <c r="AF42">
        <v>4073</v>
      </c>
      <c r="AG42">
        <v>28369</v>
      </c>
      <c r="AH42">
        <v>48818</v>
      </c>
      <c r="AI42">
        <v>39564</v>
      </c>
      <c r="AJ42">
        <v>30942</v>
      </c>
      <c r="AK42">
        <v>33784</v>
      </c>
      <c r="AL42">
        <v>6648</v>
      </c>
      <c r="AM42">
        <v>10429</v>
      </c>
      <c r="AN42">
        <v>0</v>
      </c>
      <c r="AO42">
        <v>20</v>
      </c>
    </row>
    <row r="43" spans="1:41">
      <c r="A43">
        <v>59</v>
      </c>
      <c r="B43" t="s">
        <v>241</v>
      </c>
      <c r="C43">
        <v>895358</v>
      </c>
      <c r="D43">
        <v>5520</v>
      </c>
      <c r="E43">
        <v>467</v>
      </c>
      <c r="F43">
        <v>17648</v>
      </c>
      <c r="G43">
        <v>7498</v>
      </c>
      <c r="H43">
        <v>6722</v>
      </c>
      <c r="I43">
        <v>378</v>
      </c>
      <c r="J43">
        <v>5082</v>
      </c>
      <c r="K43">
        <v>3334</v>
      </c>
      <c r="L43">
        <v>7252</v>
      </c>
      <c r="M43">
        <v>21062</v>
      </c>
      <c r="N43">
        <v>1091</v>
      </c>
      <c r="O43">
        <v>1978</v>
      </c>
      <c r="P43">
        <v>6255</v>
      </c>
      <c r="Q43">
        <v>21239</v>
      </c>
      <c r="R43">
        <v>13601</v>
      </c>
      <c r="S43">
        <v>7769</v>
      </c>
      <c r="T43">
        <v>7673</v>
      </c>
      <c r="U43">
        <v>48813</v>
      </c>
      <c r="V43">
        <v>125896</v>
      </c>
      <c r="W43">
        <v>50408</v>
      </c>
      <c r="X43">
        <v>27102</v>
      </c>
      <c r="Y43">
        <v>3511</v>
      </c>
      <c r="Z43">
        <v>3580</v>
      </c>
      <c r="AA43">
        <v>17770</v>
      </c>
      <c r="AB43">
        <v>33214</v>
      </c>
      <c r="AC43">
        <v>8303</v>
      </c>
      <c r="AD43">
        <v>38640</v>
      </c>
      <c r="AE43">
        <v>2598</v>
      </c>
      <c r="AF43">
        <v>6710</v>
      </c>
      <c r="AG43">
        <v>46513</v>
      </c>
      <c r="AH43">
        <v>93194</v>
      </c>
      <c r="AI43">
        <v>86833</v>
      </c>
      <c r="AJ43">
        <v>66236</v>
      </c>
      <c r="AK43">
        <v>76396</v>
      </c>
      <c r="AL43">
        <v>8403</v>
      </c>
      <c r="AM43">
        <v>16564</v>
      </c>
      <c r="AN43">
        <v>0</v>
      </c>
      <c r="AO43">
        <v>105</v>
      </c>
    </row>
    <row r="44" spans="1:41">
      <c r="A44">
        <v>62</v>
      </c>
      <c r="B44" t="s">
        <v>247</v>
      </c>
      <c r="C44">
        <v>412644</v>
      </c>
      <c r="D44">
        <v>5011</v>
      </c>
      <c r="E44">
        <v>492</v>
      </c>
      <c r="F44">
        <v>17611</v>
      </c>
      <c r="G44">
        <v>1556</v>
      </c>
      <c r="H44">
        <v>4737</v>
      </c>
      <c r="I44">
        <v>93</v>
      </c>
      <c r="J44">
        <v>2129</v>
      </c>
      <c r="K44">
        <v>251</v>
      </c>
      <c r="L44">
        <v>11943</v>
      </c>
      <c r="M44">
        <v>5289</v>
      </c>
      <c r="N44">
        <v>1142</v>
      </c>
      <c r="O44">
        <v>2370</v>
      </c>
      <c r="P44">
        <v>2161</v>
      </c>
      <c r="Q44">
        <v>6300</v>
      </c>
      <c r="R44">
        <v>4159</v>
      </c>
      <c r="S44">
        <v>1577</v>
      </c>
      <c r="T44">
        <v>5296</v>
      </c>
      <c r="U44">
        <v>27542</v>
      </c>
      <c r="V44">
        <v>57250</v>
      </c>
      <c r="W44">
        <v>26493</v>
      </c>
      <c r="X44">
        <v>13837</v>
      </c>
      <c r="Y44">
        <v>576</v>
      </c>
      <c r="Z44">
        <v>1126</v>
      </c>
      <c r="AA44">
        <v>1097</v>
      </c>
      <c r="AB44">
        <v>8741</v>
      </c>
      <c r="AC44">
        <v>3627</v>
      </c>
      <c r="AD44">
        <v>9155</v>
      </c>
      <c r="AE44">
        <v>252</v>
      </c>
      <c r="AF44">
        <v>2159</v>
      </c>
      <c r="AG44">
        <v>20230</v>
      </c>
      <c r="AH44">
        <v>48836</v>
      </c>
      <c r="AI44">
        <v>38925</v>
      </c>
      <c r="AJ44">
        <v>31615</v>
      </c>
      <c r="AK44">
        <v>38116</v>
      </c>
      <c r="AL44">
        <v>4090</v>
      </c>
      <c r="AM44">
        <v>6855</v>
      </c>
      <c r="AN44">
        <v>0</v>
      </c>
      <c r="AO44">
        <v>5</v>
      </c>
    </row>
    <row r="45" spans="1:41">
      <c r="A45">
        <v>67</v>
      </c>
      <c r="B45" t="s">
        <v>242</v>
      </c>
      <c r="C45">
        <v>408829</v>
      </c>
      <c r="D45">
        <v>3463</v>
      </c>
      <c r="E45">
        <v>397</v>
      </c>
      <c r="F45">
        <v>16086</v>
      </c>
      <c r="G45">
        <v>1326</v>
      </c>
      <c r="H45">
        <v>4224</v>
      </c>
      <c r="I45">
        <v>16</v>
      </c>
      <c r="J45">
        <v>2094</v>
      </c>
      <c r="K45">
        <v>2991</v>
      </c>
      <c r="L45">
        <v>4975</v>
      </c>
      <c r="M45">
        <v>7368</v>
      </c>
      <c r="N45">
        <v>2402</v>
      </c>
      <c r="O45">
        <v>8341</v>
      </c>
      <c r="P45">
        <v>6768</v>
      </c>
      <c r="Q45">
        <v>8487</v>
      </c>
      <c r="R45">
        <v>6054</v>
      </c>
      <c r="S45">
        <v>2175</v>
      </c>
      <c r="T45">
        <v>3070</v>
      </c>
      <c r="U45">
        <v>24828</v>
      </c>
      <c r="V45">
        <v>62884</v>
      </c>
      <c r="W45">
        <v>23312</v>
      </c>
      <c r="X45">
        <v>18171</v>
      </c>
      <c r="Y45">
        <v>2485</v>
      </c>
      <c r="Z45">
        <v>1662</v>
      </c>
      <c r="AA45">
        <v>5243</v>
      </c>
      <c r="AB45">
        <v>15240</v>
      </c>
      <c r="AC45">
        <v>3227</v>
      </c>
      <c r="AD45">
        <v>12990</v>
      </c>
      <c r="AE45">
        <v>3184</v>
      </c>
      <c r="AF45">
        <v>2895</v>
      </c>
      <c r="AG45">
        <v>20910</v>
      </c>
      <c r="AH45">
        <v>35237</v>
      </c>
      <c r="AI45">
        <v>29677</v>
      </c>
      <c r="AJ45">
        <v>29886</v>
      </c>
      <c r="AK45">
        <v>23975</v>
      </c>
      <c r="AL45">
        <v>3129</v>
      </c>
      <c r="AM45">
        <v>9482</v>
      </c>
      <c r="AN45">
        <v>0</v>
      </c>
      <c r="AO45">
        <v>175</v>
      </c>
    </row>
    <row r="46" spans="1:41">
      <c r="A46">
        <v>69</v>
      </c>
      <c r="B46" t="s">
        <v>243</v>
      </c>
      <c r="C46">
        <v>795430</v>
      </c>
      <c r="D46">
        <v>2377</v>
      </c>
      <c r="E46">
        <v>263</v>
      </c>
      <c r="F46">
        <v>9509</v>
      </c>
      <c r="G46">
        <v>3867</v>
      </c>
      <c r="H46">
        <v>3974</v>
      </c>
      <c r="I46">
        <v>1016</v>
      </c>
      <c r="J46">
        <v>9464</v>
      </c>
      <c r="K46">
        <v>9611</v>
      </c>
      <c r="L46">
        <v>5761</v>
      </c>
      <c r="M46">
        <v>11125</v>
      </c>
      <c r="N46">
        <v>1590</v>
      </c>
      <c r="O46">
        <v>4806</v>
      </c>
      <c r="P46">
        <v>9839</v>
      </c>
      <c r="Q46">
        <v>8927</v>
      </c>
      <c r="R46">
        <v>12965</v>
      </c>
      <c r="S46">
        <v>8705</v>
      </c>
      <c r="T46">
        <v>5473</v>
      </c>
      <c r="U46">
        <v>45869</v>
      </c>
      <c r="V46">
        <v>105375</v>
      </c>
      <c r="W46">
        <v>51862</v>
      </c>
      <c r="X46">
        <v>32332</v>
      </c>
      <c r="Y46">
        <v>6365</v>
      </c>
      <c r="Z46">
        <v>5460</v>
      </c>
      <c r="AA46">
        <v>24838</v>
      </c>
      <c r="AB46">
        <v>30890</v>
      </c>
      <c r="AC46">
        <v>9614</v>
      </c>
      <c r="AD46">
        <v>47744</v>
      </c>
      <c r="AE46">
        <v>8082</v>
      </c>
      <c r="AF46">
        <v>8247</v>
      </c>
      <c r="AG46">
        <v>52074</v>
      </c>
      <c r="AH46">
        <v>69383</v>
      </c>
      <c r="AI46">
        <v>66901</v>
      </c>
      <c r="AJ46">
        <v>50370</v>
      </c>
      <c r="AK46">
        <v>44266</v>
      </c>
      <c r="AL46">
        <v>9123</v>
      </c>
      <c r="AM46">
        <v>16769</v>
      </c>
      <c r="AN46">
        <v>0</v>
      </c>
      <c r="AO46">
        <v>594</v>
      </c>
    </row>
    <row r="47" spans="1:41">
      <c r="A47">
        <v>76</v>
      </c>
      <c r="B47" t="s">
        <v>244</v>
      </c>
      <c r="C47">
        <v>434545</v>
      </c>
      <c r="D47">
        <v>3245</v>
      </c>
      <c r="E47">
        <v>228</v>
      </c>
      <c r="F47">
        <v>10517</v>
      </c>
      <c r="G47">
        <v>836</v>
      </c>
      <c r="H47">
        <v>2988</v>
      </c>
      <c r="I47">
        <v>2522</v>
      </c>
      <c r="J47">
        <v>6768</v>
      </c>
      <c r="K47">
        <v>2439</v>
      </c>
      <c r="L47">
        <v>7612</v>
      </c>
      <c r="M47">
        <v>7068</v>
      </c>
      <c r="N47">
        <v>1254</v>
      </c>
      <c r="O47">
        <v>1861</v>
      </c>
      <c r="P47">
        <v>4190</v>
      </c>
      <c r="Q47">
        <v>10175</v>
      </c>
      <c r="R47">
        <v>7798</v>
      </c>
      <c r="S47">
        <v>5948</v>
      </c>
      <c r="T47">
        <v>4435</v>
      </c>
      <c r="U47">
        <v>28761</v>
      </c>
      <c r="V47">
        <v>52411</v>
      </c>
      <c r="W47">
        <v>35571</v>
      </c>
      <c r="X47">
        <v>13171</v>
      </c>
      <c r="Y47">
        <v>1109</v>
      </c>
      <c r="Z47">
        <v>1868</v>
      </c>
      <c r="AA47">
        <v>2100</v>
      </c>
      <c r="AB47">
        <v>14627</v>
      </c>
      <c r="AC47">
        <v>4785</v>
      </c>
      <c r="AD47">
        <v>13719</v>
      </c>
      <c r="AE47">
        <v>317</v>
      </c>
      <c r="AF47">
        <v>1966</v>
      </c>
      <c r="AG47">
        <v>21659</v>
      </c>
      <c r="AH47">
        <v>44175</v>
      </c>
      <c r="AI47">
        <v>38184</v>
      </c>
      <c r="AJ47">
        <v>31051</v>
      </c>
      <c r="AK47">
        <v>35296</v>
      </c>
      <c r="AL47">
        <v>5514</v>
      </c>
      <c r="AM47">
        <v>8377</v>
      </c>
      <c r="AN47">
        <v>0</v>
      </c>
      <c r="AO47">
        <v>0</v>
      </c>
    </row>
    <row r="48" spans="1:41">
      <c r="A48">
        <v>83</v>
      </c>
      <c r="B48" t="s">
        <v>245</v>
      </c>
      <c r="C48">
        <v>270055</v>
      </c>
      <c r="D48">
        <v>3730</v>
      </c>
      <c r="E48">
        <v>279</v>
      </c>
      <c r="F48">
        <v>4412</v>
      </c>
      <c r="G48">
        <v>273</v>
      </c>
      <c r="H48">
        <v>756</v>
      </c>
      <c r="I48">
        <v>0</v>
      </c>
      <c r="J48">
        <v>579</v>
      </c>
      <c r="K48">
        <v>314</v>
      </c>
      <c r="L48">
        <v>641</v>
      </c>
      <c r="M48">
        <v>1289</v>
      </c>
      <c r="N48">
        <v>484</v>
      </c>
      <c r="O48">
        <v>467</v>
      </c>
      <c r="P48">
        <v>236</v>
      </c>
      <c r="Q48">
        <v>3254</v>
      </c>
      <c r="R48">
        <v>2348</v>
      </c>
      <c r="S48">
        <v>1432</v>
      </c>
      <c r="T48">
        <v>3111</v>
      </c>
      <c r="U48">
        <v>19323</v>
      </c>
      <c r="V48">
        <v>45218</v>
      </c>
      <c r="W48">
        <v>12263</v>
      </c>
      <c r="X48">
        <v>16699</v>
      </c>
      <c r="Y48">
        <v>558</v>
      </c>
      <c r="Z48">
        <v>1350</v>
      </c>
      <c r="AA48">
        <v>1164</v>
      </c>
      <c r="AB48">
        <v>8198</v>
      </c>
      <c r="AC48">
        <v>4317</v>
      </c>
      <c r="AD48">
        <v>8413</v>
      </c>
      <c r="AE48">
        <v>215</v>
      </c>
      <c r="AF48">
        <v>1843</v>
      </c>
      <c r="AG48">
        <v>12100</v>
      </c>
      <c r="AH48">
        <v>35809</v>
      </c>
      <c r="AI48">
        <v>23943</v>
      </c>
      <c r="AJ48">
        <v>21065</v>
      </c>
      <c r="AK48">
        <v>23302</v>
      </c>
      <c r="AL48">
        <v>3904</v>
      </c>
      <c r="AM48">
        <v>6766</v>
      </c>
      <c r="AN48">
        <v>0</v>
      </c>
      <c r="AO48">
        <v>0</v>
      </c>
    </row>
    <row r="49" spans="1:41">
      <c r="A49">
        <v>84</v>
      </c>
      <c r="B49" t="s">
        <v>246</v>
      </c>
      <c r="C49">
        <v>176737</v>
      </c>
      <c r="D49">
        <v>5115</v>
      </c>
      <c r="E49">
        <v>332</v>
      </c>
      <c r="F49">
        <v>5857</v>
      </c>
      <c r="G49">
        <v>236</v>
      </c>
      <c r="H49">
        <v>1066</v>
      </c>
      <c r="I49">
        <v>0</v>
      </c>
      <c r="J49">
        <v>1148</v>
      </c>
      <c r="K49">
        <v>105</v>
      </c>
      <c r="L49">
        <v>2499</v>
      </c>
      <c r="M49">
        <v>1427</v>
      </c>
      <c r="N49">
        <v>196</v>
      </c>
      <c r="O49">
        <v>217</v>
      </c>
      <c r="P49">
        <v>916</v>
      </c>
      <c r="Q49">
        <v>575</v>
      </c>
      <c r="R49">
        <v>1889</v>
      </c>
      <c r="S49">
        <v>866</v>
      </c>
      <c r="T49">
        <v>2279</v>
      </c>
      <c r="U49">
        <v>11785</v>
      </c>
      <c r="V49">
        <v>31445</v>
      </c>
      <c r="W49">
        <v>11613</v>
      </c>
      <c r="X49">
        <v>7593</v>
      </c>
      <c r="Y49">
        <v>652</v>
      </c>
      <c r="Z49">
        <v>648</v>
      </c>
      <c r="AA49">
        <v>626</v>
      </c>
      <c r="AB49">
        <v>4563</v>
      </c>
      <c r="AC49">
        <v>1896</v>
      </c>
      <c r="AD49">
        <v>5188</v>
      </c>
      <c r="AE49">
        <v>873</v>
      </c>
      <c r="AF49">
        <v>1039</v>
      </c>
      <c r="AG49">
        <v>7872</v>
      </c>
      <c r="AH49">
        <v>18015</v>
      </c>
      <c r="AI49">
        <v>16625</v>
      </c>
      <c r="AJ49">
        <v>13847</v>
      </c>
      <c r="AK49">
        <v>11476</v>
      </c>
      <c r="AL49">
        <v>1678</v>
      </c>
      <c r="AM49">
        <v>4580</v>
      </c>
      <c r="AN49">
        <v>0</v>
      </c>
      <c r="AO49">
        <v>0</v>
      </c>
    </row>
    <row r="50" spans="1:41">
      <c r="A50">
        <v>72</v>
      </c>
      <c r="B50" t="s">
        <v>74</v>
      </c>
      <c r="C50">
        <v>1080317</v>
      </c>
      <c r="D50">
        <v>31044</v>
      </c>
      <c r="E50">
        <v>2141</v>
      </c>
      <c r="F50">
        <v>31497</v>
      </c>
      <c r="G50">
        <v>3415</v>
      </c>
      <c r="H50">
        <v>12861</v>
      </c>
      <c r="I50">
        <v>17</v>
      </c>
      <c r="J50">
        <v>6371</v>
      </c>
      <c r="K50">
        <v>4028</v>
      </c>
      <c r="L50">
        <v>8113</v>
      </c>
      <c r="M50">
        <v>12834</v>
      </c>
      <c r="N50">
        <v>4447</v>
      </c>
      <c r="O50">
        <v>2261</v>
      </c>
      <c r="P50">
        <v>5186</v>
      </c>
      <c r="Q50">
        <v>18060</v>
      </c>
      <c r="R50">
        <v>11100</v>
      </c>
      <c r="S50">
        <v>8281</v>
      </c>
      <c r="T50">
        <v>10950</v>
      </c>
      <c r="U50">
        <v>70514</v>
      </c>
      <c r="V50">
        <v>158213</v>
      </c>
      <c r="W50">
        <v>60905</v>
      </c>
      <c r="X50">
        <v>44162</v>
      </c>
      <c r="Y50">
        <v>5177</v>
      </c>
      <c r="Z50">
        <v>5846</v>
      </c>
      <c r="AA50">
        <v>11867</v>
      </c>
      <c r="AB50">
        <v>36660</v>
      </c>
      <c r="AC50">
        <v>10515</v>
      </c>
      <c r="AD50">
        <v>36481</v>
      </c>
      <c r="AE50">
        <v>8252</v>
      </c>
      <c r="AF50">
        <v>6397</v>
      </c>
      <c r="AG50">
        <v>48099</v>
      </c>
      <c r="AH50">
        <v>111543</v>
      </c>
      <c r="AI50">
        <v>87290</v>
      </c>
      <c r="AJ50">
        <v>80163</v>
      </c>
      <c r="AK50">
        <v>90736</v>
      </c>
      <c r="AL50">
        <v>13864</v>
      </c>
      <c r="AM50">
        <v>20981</v>
      </c>
      <c r="AN50">
        <v>0</v>
      </c>
      <c r="AO50">
        <v>46</v>
      </c>
    </row>
    <row r="51" spans="1:41" s="224" customFormat="1">
      <c r="A51" s="224">
        <v>75</v>
      </c>
      <c r="B51" s="224" t="s">
        <v>1406</v>
      </c>
      <c r="C51" s="224">
        <v>1857845</v>
      </c>
      <c r="D51" s="224">
        <v>49747</v>
      </c>
      <c r="E51" s="224">
        <v>3686</v>
      </c>
      <c r="F51" s="224">
        <v>54617</v>
      </c>
      <c r="G51" s="224">
        <v>7987</v>
      </c>
      <c r="H51" s="224">
        <v>27670</v>
      </c>
      <c r="I51" s="224">
        <v>112</v>
      </c>
      <c r="J51" s="224">
        <v>9135</v>
      </c>
      <c r="K51" s="224">
        <v>4555</v>
      </c>
      <c r="L51" s="224">
        <v>17217</v>
      </c>
      <c r="M51" s="224">
        <v>25701</v>
      </c>
      <c r="N51" s="224">
        <v>6646</v>
      </c>
      <c r="O51" s="224">
        <v>11440</v>
      </c>
      <c r="P51" s="224">
        <v>11894</v>
      </c>
      <c r="Q51" s="224">
        <v>28587</v>
      </c>
      <c r="R51" s="224">
        <v>21690</v>
      </c>
      <c r="S51" s="224">
        <v>13732</v>
      </c>
      <c r="T51" s="224">
        <v>18538</v>
      </c>
      <c r="U51" s="224">
        <v>118511</v>
      </c>
      <c r="V51" s="224">
        <v>264356</v>
      </c>
      <c r="W51" s="224">
        <v>101925</v>
      </c>
      <c r="X51" s="224">
        <v>69580</v>
      </c>
      <c r="Y51" s="224">
        <v>8100</v>
      </c>
      <c r="Z51" s="224">
        <v>8089</v>
      </c>
      <c r="AA51" s="224">
        <v>15483</v>
      </c>
      <c r="AB51" s="224">
        <v>67848</v>
      </c>
      <c r="AC51" s="224">
        <v>16119</v>
      </c>
      <c r="AD51" s="224">
        <v>55290</v>
      </c>
      <c r="AE51" s="224">
        <v>9777</v>
      </c>
      <c r="AF51" s="224">
        <v>10535</v>
      </c>
      <c r="AG51" s="224">
        <v>80034</v>
      </c>
      <c r="AH51" s="224">
        <v>198736</v>
      </c>
      <c r="AI51" s="224">
        <v>149549</v>
      </c>
      <c r="AJ51" s="224">
        <v>142904</v>
      </c>
      <c r="AK51" s="224">
        <v>168160</v>
      </c>
      <c r="AL51" s="224">
        <v>22899</v>
      </c>
      <c r="AM51" s="224">
        <v>36949</v>
      </c>
      <c r="AN51" s="224">
        <v>0</v>
      </c>
      <c r="AO51" s="224">
        <v>47</v>
      </c>
    </row>
    <row r="52" spans="1:41">
      <c r="A52">
        <v>243300316</v>
      </c>
      <c r="B52" t="s">
        <v>70</v>
      </c>
      <c r="C52">
        <v>360012</v>
      </c>
      <c r="D52">
        <v>857</v>
      </c>
      <c r="E52">
        <v>92</v>
      </c>
      <c r="F52">
        <v>3362</v>
      </c>
      <c r="G52">
        <v>230</v>
      </c>
      <c r="H52">
        <v>1388</v>
      </c>
      <c r="I52">
        <v>0</v>
      </c>
      <c r="J52">
        <v>2084</v>
      </c>
      <c r="K52">
        <v>1210</v>
      </c>
      <c r="L52">
        <v>595</v>
      </c>
      <c r="M52">
        <v>1846</v>
      </c>
      <c r="N52">
        <v>2814</v>
      </c>
      <c r="O52">
        <v>1285</v>
      </c>
      <c r="P52">
        <v>698</v>
      </c>
      <c r="Q52">
        <v>7945</v>
      </c>
      <c r="R52">
        <v>3225</v>
      </c>
      <c r="S52">
        <v>3133</v>
      </c>
      <c r="T52">
        <v>3123</v>
      </c>
      <c r="U52">
        <v>19586</v>
      </c>
      <c r="V52">
        <v>45916</v>
      </c>
      <c r="W52">
        <v>22915</v>
      </c>
      <c r="X52">
        <v>15799</v>
      </c>
      <c r="Y52">
        <v>3008</v>
      </c>
      <c r="Z52">
        <v>4217</v>
      </c>
      <c r="AA52">
        <v>8593</v>
      </c>
      <c r="AB52">
        <v>19083</v>
      </c>
      <c r="AC52">
        <v>4854</v>
      </c>
      <c r="AD52">
        <v>16316</v>
      </c>
      <c r="AE52">
        <v>3556</v>
      </c>
      <c r="AF52">
        <v>3188</v>
      </c>
      <c r="AG52">
        <v>20407</v>
      </c>
      <c r="AH52">
        <v>42224</v>
      </c>
      <c r="AI52">
        <v>31295</v>
      </c>
      <c r="AJ52">
        <v>29328</v>
      </c>
      <c r="AK52">
        <v>23273</v>
      </c>
      <c r="AL52">
        <v>4795</v>
      </c>
      <c r="AM52">
        <v>7734</v>
      </c>
      <c r="AN52">
        <v>0</v>
      </c>
      <c r="AO52">
        <v>38</v>
      </c>
    </row>
    <row r="53" spans="1:41">
      <c r="A53" t="s">
        <v>436</v>
      </c>
      <c r="B53" s="22" t="s">
        <v>1194</v>
      </c>
      <c r="C53">
        <v>22234775</v>
      </c>
      <c r="D53">
        <v>250524</v>
      </c>
      <c r="E53">
        <v>21444</v>
      </c>
      <c r="F53">
        <v>553184</v>
      </c>
      <c r="G53">
        <v>101576</v>
      </c>
      <c r="H53">
        <v>179272</v>
      </c>
      <c r="I53">
        <v>9363</v>
      </c>
      <c r="J53">
        <v>143126</v>
      </c>
      <c r="K53">
        <v>76626</v>
      </c>
      <c r="L53">
        <v>259948</v>
      </c>
      <c r="M53">
        <v>376343</v>
      </c>
      <c r="N53">
        <v>127125</v>
      </c>
      <c r="O53">
        <v>111293</v>
      </c>
      <c r="P53">
        <v>175769</v>
      </c>
      <c r="Q53">
        <v>354116</v>
      </c>
      <c r="R53">
        <v>263442</v>
      </c>
      <c r="S53">
        <v>179201</v>
      </c>
      <c r="T53">
        <v>187530</v>
      </c>
      <c r="U53">
        <v>1339790</v>
      </c>
      <c r="V53">
        <v>3033523</v>
      </c>
      <c r="W53">
        <v>1331900</v>
      </c>
      <c r="X53">
        <v>941442</v>
      </c>
      <c r="Y53">
        <v>201203</v>
      </c>
      <c r="Z53">
        <v>117207</v>
      </c>
      <c r="AA53">
        <v>392552</v>
      </c>
      <c r="AB53">
        <v>843382</v>
      </c>
      <c r="AC53">
        <v>232314</v>
      </c>
      <c r="AD53">
        <v>960708</v>
      </c>
      <c r="AE53">
        <v>164756</v>
      </c>
      <c r="AF53">
        <v>185002</v>
      </c>
      <c r="AG53">
        <v>1186754</v>
      </c>
      <c r="AH53">
        <v>2242699</v>
      </c>
      <c r="AI53">
        <v>1821175</v>
      </c>
      <c r="AJ53">
        <v>1511321</v>
      </c>
      <c r="AK53">
        <v>1575766</v>
      </c>
      <c r="AL53">
        <v>290878</v>
      </c>
      <c r="AM53">
        <v>487101</v>
      </c>
      <c r="AN53">
        <v>0</v>
      </c>
      <c r="AO53">
        <v>5420</v>
      </c>
    </row>
    <row r="54" spans="1:41">
      <c r="A54" s="680" t="s">
        <v>1411</v>
      </c>
      <c r="B54" s="680" t="s">
        <v>1405</v>
      </c>
      <c r="C54" s="680">
        <v>1056564</v>
      </c>
      <c r="D54" s="680">
        <v>15461</v>
      </c>
      <c r="E54" s="680">
        <v>987</v>
      </c>
      <c r="F54" s="680">
        <v>35225</v>
      </c>
      <c r="G54" s="680">
        <v>4074</v>
      </c>
      <c r="H54" s="680">
        <v>10962</v>
      </c>
      <c r="I54" s="680">
        <v>2522</v>
      </c>
      <c r="J54" s="680">
        <v>14745</v>
      </c>
      <c r="K54" s="680">
        <v>9045</v>
      </c>
      <c r="L54" s="680">
        <v>18950</v>
      </c>
      <c r="M54" s="680">
        <v>20551</v>
      </c>
      <c r="N54" s="680">
        <v>4907</v>
      </c>
      <c r="O54" s="680">
        <v>6845</v>
      </c>
      <c r="P54" s="680">
        <v>10071</v>
      </c>
      <c r="Q54" s="680">
        <v>23924</v>
      </c>
      <c r="R54" s="680">
        <v>14949</v>
      </c>
      <c r="S54" s="680">
        <v>10248</v>
      </c>
      <c r="T54" s="680">
        <v>9429</v>
      </c>
      <c r="U54" s="680">
        <v>70312</v>
      </c>
      <c r="V54" s="680">
        <v>133916</v>
      </c>
      <c r="W54" s="680">
        <v>67220</v>
      </c>
      <c r="X54" s="680">
        <v>35351</v>
      </c>
      <c r="Y54" s="680">
        <v>3043</v>
      </c>
      <c r="Z54" s="680">
        <v>3624</v>
      </c>
      <c r="AA54" s="680">
        <v>4582</v>
      </c>
      <c r="AB54" s="680">
        <v>30080</v>
      </c>
      <c r="AC54" s="680">
        <v>9779</v>
      </c>
      <c r="AD54" s="680">
        <v>33186</v>
      </c>
      <c r="AE54" s="680">
        <v>2391</v>
      </c>
      <c r="AF54" s="680">
        <v>5469</v>
      </c>
      <c r="AG54" s="680">
        <v>43341</v>
      </c>
      <c r="AH54" s="680">
        <v>107837</v>
      </c>
      <c r="AI54" s="680">
        <v>88668</v>
      </c>
      <c r="AJ54" s="680">
        <v>77508</v>
      </c>
      <c r="AK54" s="680">
        <v>91482</v>
      </c>
      <c r="AL54" s="680">
        <v>13408</v>
      </c>
      <c r="AM54" s="680">
        <v>22451</v>
      </c>
      <c r="AN54" s="680">
        <v>0</v>
      </c>
      <c r="AO54" s="680">
        <v>21</v>
      </c>
    </row>
    <row r="55" spans="1:41">
      <c r="A55" s="680" t="s">
        <v>1412</v>
      </c>
      <c r="B55" s="680" t="s">
        <v>1404</v>
      </c>
      <c r="C55" s="680">
        <v>1859907</v>
      </c>
      <c r="D55" s="680">
        <v>20114</v>
      </c>
      <c r="E55" s="680">
        <v>1479</v>
      </c>
      <c r="F55" s="680">
        <v>51867</v>
      </c>
      <c r="G55" s="680">
        <v>12392</v>
      </c>
      <c r="H55" s="680">
        <v>16255</v>
      </c>
      <c r="I55" s="680">
        <v>647</v>
      </c>
      <c r="J55" s="680">
        <v>17866</v>
      </c>
      <c r="K55" s="680">
        <v>5646</v>
      </c>
      <c r="L55" s="680">
        <v>33895</v>
      </c>
      <c r="M55" s="680">
        <v>42024</v>
      </c>
      <c r="N55" s="680">
        <v>3435</v>
      </c>
      <c r="O55" s="680">
        <v>8576</v>
      </c>
      <c r="P55" s="680">
        <v>14729</v>
      </c>
      <c r="Q55" s="680">
        <v>34979</v>
      </c>
      <c r="R55" s="680">
        <v>24755</v>
      </c>
      <c r="S55" s="680">
        <v>11431</v>
      </c>
      <c r="T55" s="680">
        <v>18499</v>
      </c>
      <c r="U55" s="680">
        <v>107760</v>
      </c>
      <c r="V55" s="680">
        <v>258124</v>
      </c>
      <c r="W55" s="680">
        <v>111967</v>
      </c>
      <c r="X55" s="680">
        <v>58187</v>
      </c>
      <c r="Y55" s="680">
        <v>5905</v>
      </c>
      <c r="Z55" s="680">
        <v>6267</v>
      </c>
      <c r="AA55" s="680">
        <v>20669</v>
      </c>
      <c r="AB55" s="680">
        <v>54653</v>
      </c>
      <c r="AC55" s="680">
        <v>16822</v>
      </c>
      <c r="AD55" s="680">
        <v>60839</v>
      </c>
      <c r="AE55" s="680">
        <v>4652</v>
      </c>
      <c r="AF55" s="680">
        <v>11325</v>
      </c>
      <c r="AG55" s="680">
        <v>91486</v>
      </c>
      <c r="AH55" s="680">
        <v>203004</v>
      </c>
      <c r="AI55" s="680">
        <v>174638</v>
      </c>
      <c r="AJ55" s="680">
        <v>145292</v>
      </c>
      <c r="AK55" s="680">
        <v>157015</v>
      </c>
      <c r="AL55" s="680">
        <v>18757</v>
      </c>
      <c r="AM55" s="680">
        <v>33826</v>
      </c>
      <c r="AN55" s="680">
        <v>0</v>
      </c>
      <c r="AO55" s="680">
        <v>130</v>
      </c>
    </row>
    <row r="56" spans="1:41">
      <c r="A56" s="680" t="s">
        <v>260</v>
      </c>
      <c r="B56" s="680" t="s">
        <v>1403</v>
      </c>
      <c r="C56" s="680">
        <v>1741209</v>
      </c>
      <c r="D56" s="680">
        <v>26141</v>
      </c>
      <c r="E56" s="680">
        <v>2033</v>
      </c>
      <c r="F56" s="680">
        <v>55657</v>
      </c>
      <c r="G56" s="680">
        <v>10800</v>
      </c>
      <c r="H56" s="680">
        <v>23057</v>
      </c>
      <c r="I56" s="680">
        <v>20</v>
      </c>
      <c r="J56" s="680">
        <v>10696</v>
      </c>
      <c r="K56" s="680">
        <v>6085</v>
      </c>
      <c r="L56" s="680">
        <v>27544</v>
      </c>
      <c r="M56" s="680">
        <v>50911</v>
      </c>
      <c r="N56" s="680">
        <v>6593</v>
      </c>
      <c r="O56" s="680">
        <v>15307</v>
      </c>
      <c r="P56" s="680">
        <v>25264</v>
      </c>
      <c r="Q56" s="680">
        <v>33315</v>
      </c>
      <c r="R56" s="680">
        <v>24036</v>
      </c>
      <c r="S56" s="680">
        <v>16507</v>
      </c>
      <c r="T56" s="680">
        <v>14513</v>
      </c>
      <c r="U56" s="680">
        <v>107180</v>
      </c>
      <c r="V56" s="680">
        <v>246850</v>
      </c>
      <c r="W56" s="680">
        <v>98808</v>
      </c>
      <c r="X56" s="680">
        <v>66829</v>
      </c>
      <c r="Y56" s="680">
        <v>7672</v>
      </c>
      <c r="Z56" s="680">
        <v>6744</v>
      </c>
      <c r="AA56" s="680">
        <v>10320</v>
      </c>
      <c r="AB56" s="680">
        <v>49896</v>
      </c>
      <c r="AC56" s="680">
        <v>13788</v>
      </c>
      <c r="AD56" s="680">
        <v>48417</v>
      </c>
      <c r="AE56" s="680">
        <v>7815</v>
      </c>
      <c r="AF56" s="680">
        <v>9615</v>
      </c>
      <c r="AG56" s="680">
        <v>75449</v>
      </c>
      <c r="AH56" s="680">
        <v>173255</v>
      </c>
      <c r="AI56" s="680">
        <v>141276</v>
      </c>
      <c r="AJ56" s="680">
        <v>139342</v>
      </c>
      <c r="AK56" s="680">
        <v>134844</v>
      </c>
      <c r="AL56" s="680">
        <v>15784</v>
      </c>
      <c r="AM56" s="680">
        <v>38627</v>
      </c>
      <c r="AN56" s="680">
        <v>0</v>
      </c>
      <c r="AO56" s="680">
        <v>219</v>
      </c>
    </row>
    <row r="57" spans="1:41">
      <c r="A57" s="680" t="s">
        <v>835</v>
      </c>
      <c r="B57" s="680" t="s">
        <v>510</v>
      </c>
      <c r="C57" s="680">
        <v>1259754</v>
      </c>
      <c r="D57" s="680">
        <v>22652</v>
      </c>
      <c r="E57" s="680">
        <v>1408</v>
      </c>
      <c r="F57" s="680">
        <v>57950</v>
      </c>
      <c r="G57" s="680">
        <v>10072</v>
      </c>
      <c r="H57" s="680">
        <v>14882</v>
      </c>
      <c r="I57" s="680">
        <v>922</v>
      </c>
      <c r="J57" s="680">
        <v>2875</v>
      </c>
      <c r="K57" s="680">
        <v>1828</v>
      </c>
      <c r="L57" s="680">
        <v>23795</v>
      </c>
      <c r="M57" s="680">
        <v>31763</v>
      </c>
      <c r="N57" s="680">
        <v>7418</v>
      </c>
      <c r="O57" s="680">
        <v>7685</v>
      </c>
      <c r="P57" s="680">
        <v>17159</v>
      </c>
      <c r="Q57" s="680">
        <v>27631</v>
      </c>
      <c r="R57" s="680">
        <v>18692</v>
      </c>
      <c r="S57" s="680">
        <v>6836</v>
      </c>
      <c r="T57" s="680">
        <v>9978</v>
      </c>
      <c r="U57" s="680">
        <v>87617</v>
      </c>
      <c r="V57" s="680">
        <v>171272</v>
      </c>
      <c r="W57" s="680">
        <v>68378</v>
      </c>
      <c r="X57" s="680">
        <v>39185</v>
      </c>
      <c r="Y57" s="680">
        <v>5139</v>
      </c>
      <c r="Z57" s="680">
        <v>5616</v>
      </c>
      <c r="AA57" s="680">
        <v>20747</v>
      </c>
      <c r="AB57" s="680">
        <v>45763</v>
      </c>
      <c r="AC57" s="680">
        <v>10015</v>
      </c>
      <c r="AD57" s="680">
        <v>44609</v>
      </c>
      <c r="AE57" s="680">
        <v>4086</v>
      </c>
      <c r="AF57" s="680">
        <v>7402</v>
      </c>
      <c r="AG57" s="680">
        <v>59739</v>
      </c>
      <c r="AH57" s="680">
        <v>113149</v>
      </c>
      <c r="AI57" s="680">
        <v>98614</v>
      </c>
      <c r="AJ57" s="680">
        <v>80417</v>
      </c>
      <c r="AK57" s="680">
        <v>94248</v>
      </c>
      <c r="AL57" s="680">
        <v>13830</v>
      </c>
      <c r="AM57" s="680">
        <v>26362</v>
      </c>
      <c r="AN57" s="680">
        <v>0</v>
      </c>
      <c r="AO57" s="680">
        <v>20</v>
      </c>
    </row>
    <row r="58" spans="1:41">
      <c r="A58" s="680" t="s">
        <v>836</v>
      </c>
      <c r="B58" s="680" t="s">
        <v>508</v>
      </c>
      <c r="C58" s="680">
        <v>1046507</v>
      </c>
      <c r="D58" s="680">
        <v>21703</v>
      </c>
      <c r="E58" s="680">
        <v>1249</v>
      </c>
      <c r="F58" s="680">
        <v>68728</v>
      </c>
      <c r="G58" s="680">
        <v>2718</v>
      </c>
      <c r="H58" s="680">
        <v>8716</v>
      </c>
      <c r="I58" s="680">
        <v>19</v>
      </c>
      <c r="J58" s="680">
        <v>6463</v>
      </c>
      <c r="K58" s="680">
        <v>1100</v>
      </c>
      <c r="L58" s="680">
        <v>12957</v>
      </c>
      <c r="M58" s="680">
        <v>11924</v>
      </c>
      <c r="N58" s="680">
        <v>8037</v>
      </c>
      <c r="O58" s="680">
        <v>2276</v>
      </c>
      <c r="P58" s="680">
        <v>7775</v>
      </c>
      <c r="Q58" s="680">
        <v>9721</v>
      </c>
      <c r="R58" s="680">
        <v>13892</v>
      </c>
      <c r="S58" s="680">
        <v>4358</v>
      </c>
      <c r="T58" s="680">
        <v>8118</v>
      </c>
      <c r="U58" s="680">
        <v>68641</v>
      </c>
      <c r="V58" s="680">
        <v>143988</v>
      </c>
      <c r="W58" s="680">
        <v>57853</v>
      </c>
      <c r="X58" s="680">
        <v>37008</v>
      </c>
      <c r="Y58" s="680">
        <v>5747</v>
      </c>
      <c r="Z58" s="680">
        <v>8540</v>
      </c>
      <c r="AA58" s="680">
        <v>12964</v>
      </c>
      <c r="AB58" s="680">
        <v>31579</v>
      </c>
      <c r="AC58" s="680">
        <v>7582</v>
      </c>
      <c r="AD58" s="680">
        <v>33560</v>
      </c>
      <c r="AE58" s="680">
        <v>5223</v>
      </c>
      <c r="AF58" s="680">
        <v>6532</v>
      </c>
      <c r="AG58" s="680">
        <v>44398</v>
      </c>
      <c r="AH58" s="680">
        <v>97457</v>
      </c>
      <c r="AI58" s="680">
        <v>94075</v>
      </c>
      <c r="AJ58" s="680">
        <v>79570</v>
      </c>
      <c r="AK58" s="680">
        <v>88070</v>
      </c>
      <c r="AL58" s="680">
        <v>10548</v>
      </c>
      <c r="AM58" s="680">
        <v>23403</v>
      </c>
      <c r="AN58" s="680">
        <v>0</v>
      </c>
      <c r="AO58" s="680">
        <v>15</v>
      </c>
    </row>
    <row r="59" spans="1:41">
      <c r="A59" s="680" t="s">
        <v>265</v>
      </c>
      <c r="B59" s="680" t="s">
        <v>1407</v>
      </c>
      <c r="C59" s="680">
        <v>1776548</v>
      </c>
      <c r="D59" s="680">
        <v>25922</v>
      </c>
      <c r="E59" s="680">
        <v>2649</v>
      </c>
      <c r="F59" s="680">
        <v>41026</v>
      </c>
      <c r="G59" s="680">
        <v>4820</v>
      </c>
      <c r="H59" s="680">
        <v>10793</v>
      </c>
      <c r="I59" s="680">
        <v>30</v>
      </c>
      <c r="J59" s="680">
        <v>7125</v>
      </c>
      <c r="K59" s="680">
        <v>2682</v>
      </c>
      <c r="L59" s="680">
        <v>13249</v>
      </c>
      <c r="M59" s="680">
        <v>24461</v>
      </c>
      <c r="N59" s="680">
        <v>8043</v>
      </c>
      <c r="O59" s="680">
        <v>4974</v>
      </c>
      <c r="P59" s="680">
        <v>7664</v>
      </c>
      <c r="Q59" s="680">
        <v>42559</v>
      </c>
      <c r="R59" s="680">
        <v>14299</v>
      </c>
      <c r="S59" s="680">
        <v>12698</v>
      </c>
      <c r="T59" s="680">
        <v>16161</v>
      </c>
      <c r="U59" s="680">
        <v>111139</v>
      </c>
      <c r="V59" s="680">
        <v>248315</v>
      </c>
      <c r="W59" s="680">
        <v>91729</v>
      </c>
      <c r="X59" s="680">
        <v>71431</v>
      </c>
      <c r="Y59" s="680">
        <v>9624</v>
      </c>
      <c r="Z59" s="680">
        <v>9497</v>
      </c>
      <c r="AA59" s="680">
        <v>27174</v>
      </c>
      <c r="AB59" s="680">
        <v>50459</v>
      </c>
      <c r="AC59" s="680">
        <v>16634</v>
      </c>
      <c r="AD59" s="680">
        <v>75617</v>
      </c>
      <c r="AE59" s="680">
        <v>20307</v>
      </c>
      <c r="AF59" s="680">
        <v>10653</v>
      </c>
      <c r="AG59" s="680">
        <v>74906</v>
      </c>
      <c r="AH59" s="680">
        <v>209894</v>
      </c>
      <c r="AI59" s="680">
        <v>157071</v>
      </c>
      <c r="AJ59" s="680">
        <v>133781</v>
      </c>
      <c r="AK59" s="680">
        <v>153899</v>
      </c>
      <c r="AL59" s="680">
        <v>23086</v>
      </c>
      <c r="AM59" s="680">
        <v>42081</v>
      </c>
      <c r="AN59" s="680">
        <v>0</v>
      </c>
      <c r="AO59" s="680">
        <v>96</v>
      </c>
    </row>
    <row r="60" spans="1:41">
      <c r="A60" s="680" t="s">
        <v>267</v>
      </c>
      <c r="B60" s="680" t="s">
        <v>1402</v>
      </c>
      <c r="C60" s="680">
        <v>2730814</v>
      </c>
      <c r="D60" s="680">
        <v>18330</v>
      </c>
      <c r="E60" s="680">
        <v>2481</v>
      </c>
      <c r="F60" s="680">
        <v>62470</v>
      </c>
      <c r="G60" s="680">
        <v>21313</v>
      </c>
      <c r="H60" s="680">
        <v>24565</v>
      </c>
      <c r="I60" s="680">
        <v>1143</v>
      </c>
      <c r="J60" s="680">
        <v>24678</v>
      </c>
      <c r="K60" s="680">
        <v>16404</v>
      </c>
      <c r="L60" s="680">
        <v>50243</v>
      </c>
      <c r="M60" s="680">
        <v>76366</v>
      </c>
      <c r="N60" s="680">
        <v>20771</v>
      </c>
      <c r="O60" s="680">
        <v>23936</v>
      </c>
      <c r="P60" s="680">
        <v>37477</v>
      </c>
      <c r="Q60" s="680">
        <v>25993</v>
      </c>
      <c r="R60" s="680">
        <v>44996</v>
      </c>
      <c r="S60" s="680">
        <v>28840</v>
      </c>
      <c r="T60" s="680">
        <v>21948</v>
      </c>
      <c r="U60" s="680">
        <v>175018</v>
      </c>
      <c r="V60" s="680">
        <v>367498</v>
      </c>
      <c r="W60" s="680">
        <v>158849</v>
      </c>
      <c r="X60" s="680">
        <v>121986</v>
      </c>
      <c r="Y60" s="680">
        <v>14648</v>
      </c>
      <c r="Z60" s="680">
        <v>11632</v>
      </c>
      <c r="AA60" s="680">
        <v>41376</v>
      </c>
      <c r="AB60" s="680">
        <v>81586</v>
      </c>
      <c r="AC60" s="680">
        <v>28147</v>
      </c>
      <c r="AD60" s="680">
        <v>112671</v>
      </c>
      <c r="AE60" s="680">
        <v>26154</v>
      </c>
      <c r="AF60" s="680">
        <v>18249</v>
      </c>
      <c r="AG60" s="680">
        <v>124737</v>
      </c>
      <c r="AH60" s="680">
        <v>250098</v>
      </c>
      <c r="AI60" s="680">
        <v>225676</v>
      </c>
      <c r="AJ60" s="680">
        <v>180858</v>
      </c>
      <c r="AK60" s="680">
        <v>202190</v>
      </c>
      <c r="AL60" s="680">
        <v>30912</v>
      </c>
      <c r="AM60" s="680">
        <v>55946</v>
      </c>
      <c r="AN60" s="680">
        <v>0</v>
      </c>
      <c r="AO60" s="680">
        <v>629</v>
      </c>
    </row>
    <row r="61" spans="1:41">
      <c r="A61" s="680" t="s">
        <v>840</v>
      </c>
      <c r="B61" s="680" t="s">
        <v>290</v>
      </c>
      <c r="C61" s="680">
        <v>1639491</v>
      </c>
      <c r="D61" s="680">
        <v>15868</v>
      </c>
      <c r="E61" s="680">
        <v>1428</v>
      </c>
      <c r="F61" s="680">
        <v>26879</v>
      </c>
      <c r="G61" s="680">
        <v>1854</v>
      </c>
      <c r="H61" s="680">
        <v>5689</v>
      </c>
      <c r="I61" s="680">
        <v>1499</v>
      </c>
      <c r="J61" s="680">
        <v>13063</v>
      </c>
      <c r="K61" s="680">
        <v>3133</v>
      </c>
      <c r="L61" s="680">
        <v>8115</v>
      </c>
      <c r="M61" s="680">
        <v>12188</v>
      </c>
      <c r="N61" s="680">
        <v>9025</v>
      </c>
      <c r="O61" s="680">
        <v>2458</v>
      </c>
      <c r="P61" s="680">
        <v>3781</v>
      </c>
      <c r="Q61" s="680">
        <v>16981</v>
      </c>
      <c r="R61" s="680">
        <v>17606</v>
      </c>
      <c r="S61" s="680">
        <v>11987</v>
      </c>
      <c r="T61" s="680">
        <v>16277</v>
      </c>
      <c r="U61" s="680">
        <v>100242</v>
      </c>
      <c r="V61" s="680">
        <v>243472</v>
      </c>
      <c r="W61" s="680">
        <v>103402</v>
      </c>
      <c r="X61" s="680">
        <v>90885</v>
      </c>
      <c r="Y61" s="680">
        <v>8043</v>
      </c>
      <c r="Z61" s="680">
        <v>8175</v>
      </c>
      <c r="AA61" s="680">
        <v>24234</v>
      </c>
      <c r="AB61" s="680">
        <v>49519</v>
      </c>
      <c r="AC61" s="680">
        <v>21976</v>
      </c>
      <c r="AD61" s="680">
        <v>63437</v>
      </c>
      <c r="AE61" s="680">
        <v>13532</v>
      </c>
      <c r="AF61" s="680">
        <v>11494</v>
      </c>
      <c r="AG61" s="680">
        <v>96419</v>
      </c>
      <c r="AH61" s="680">
        <v>196537</v>
      </c>
      <c r="AI61" s="680">
        <v>138938</v>
      </c>
      <c r="AJ61" s="680">
        <v>126349</v>
      </c>
      <c r="AK61" s="680">
        <v>112287</v>
      </c>
      <c r="AL61" s="680">
        <v>21459</v>
      </c>
      <c r="AM61" s="680">
        <v>41044</v>
      </c>
      <c r="AN61" s="680">
        <v>0</v>
      </c>
      <c r="AO61" s="680">
        <v>216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R355"/>
  <sheetViews>
    <sheetView view="pageLayout" topLeftCell="A307" zoomScaleNormal="100" workbookViewId="0">
      <selection activeCell="A23" sqref="A23:U33"/>
    </sheetView>
  </sheetViews>
  <sheetFormatPr baseColWidth="10" defaultColWidth="0" defaultRowHeight="15" zeroHeight="1"/>
  <cols>
    <col min="1" max="1" width="13.7109375" style="325" customWidth="1"/>
    <col min="2" max="2" width="14.140625" style="325" customWidth="1"/>
    <col min="3" max="3" width="13.85546875" style="325" customWidth="1"/>
    <col min="4" max="5" width="14.140625" style="325" customWidth="1"/>
    <col min="6" max="6" width="11.28515625" style="325" customWidth="1"/>
    <col min="7" max="7" width="13.7109375" style="325" customWidth="1"/>
    <col min="8" max="16384" width="11.42578125" style="310" hidden="1"/>
  </cols>
  <sheetData>
    <row r="1" spans="1:18" ht="15" customHeight="1">
      <c r="A1" s="582"/>
      <c r="B1" s="583"/>
      <c r="C1" s="1031" t="s">
        <v>1039</v>
      </c>
      <c r="D1" s="1032"/>
      <c r="E1" s="1032"/>
      <c r="F1" s="1032"/>
      <c r="G1" s="1032"/>
      <c r="H1"/>
      <c r="I1"/>
      <c r="J1"/>
      <c r="K1"/>
      <c r="L1"/>
      <c r="M1"/>
      <c r="N1"/>
      <c r="O1"/>
      <c r="P1"/>
      <c r="Q1"/>
      <c r="R1"/>
    </row>
    <row r="2" spans="1:18" ht="18.75" customHeight="1">
      <c r="A2" s="582"/>
      <c r="B2" s="583"/>
      <c r="C2" s="1034"/>
      <c r="D2" s="1035"/>
      <c r="E2" s="1035"/>
      <c r="F2" s="1035"/>
      <c r="G2" s="1035"/>
      <c r="H2"/>
      <c r="I2"/>
      <c r="J2"/>
      <c r="K2"/>
      <c r="L2"/>
      <c r="M2"/>
      <c r="N2"/>
      <c r="O2"/>
      <c r="P2"/>
      <c r="Q2"/>
      <c r="R2"/>
    </row>
    <row r="3" spans="1:18" ht="14.25" customHeight="1">
      <c r="A3" s="582"/>
      <c r="B3" s="584"/>
      <c r="C3" s="1034"/>
      <c r="D3" s="1035"/>
      <c r="E3" s="1035"/>
      <c r="F3" s="1035"/>
      <c r="G3" s="1035"/>
      <c r="H3"/>
      <c r="I3"/>
      <c r="J3"/>
      <c r="K3"/>
      <c r="L3"/>
      <c r="M3"/>
      <c r="N3"/>
      <c r="O3"/>
      <c r="P3"/>
      <c r="Q3"/>
      <c r="R3"/>
    </row>
    <row r="4" spans="1:18" ht="21">
      <c r="A4" s="582"/>
      <c r="B4" s="582"/>
      <c r="C4" s="1037"/>
      <c r="D4" s="1038"/>
      <c r="E4" s="1038"/>
      <c r="F4" s="1038"/>
      <c r="G4" s="1038"/>
      <c r="H4"/>
      <c r="I4"/>
      <c r="J4"/>
      <c r="K4"/>
      <c r="L4"/>
      <c r="M4"/>
      <c r="N4"/>
      <c r="O4"/>
      <c r="P4"/>
      <c r="Q4"/>
      <c r="R4"/>
    </row>
    <row r="5" spans="1:18">
      <c r="A5" s="309"/>
      <c r="B5" s="309"/>
      <c r="C5" s="309"/>
      <c r="D5" s="309"/>
      <c r="E5" s="309"/>
      <c r="F5" s="309"/>
      <c r="G5" s="309"/>
      <c r="H5"/>
      <c r="I5"/>
    </row>
    <row r="6" spans="1:18" ht="15" customHeight="1">
      <c r="A6" s="1048" t="s">
        <v>1040</v>
      </c>
      <c r="B6" s="1048"/>
      <c r="C6" s="1048"/>
      <c r="D6" s="1048"/>
      <c r="E6" s="1048"/>
      <c r="F6" s="1048"/>
      <c r="G6" s="1048"/>
      <c r="H6"/>
      <c r="I6"/>
    </row>
    <row r="7" spans="1:18" ht="15" customHeight="1">
      <c r="A7" s="1048"/>
      <c r="B7" s="1048"/>
      <c r="C7" s="1048"/>
      <c r="D7" s="1048"/>
      <c r="E7" s="1048"/>
      <c r="F7" s="1048"/>
      <c r="G7" s="1048"/>
      <c r="H7"/>
      <c r="I7"/>
    </row>
    <row r="8" spans="1:18">
      <c r="A8" s="333" t="s">
        <v>0</v>
      </c>
      <c r="B8" s="309"/>
      <c r="C8" s="309"/>
      <c r="D8" s="309"/>
      <c r="E8" s="309"/>
      <c r="F8" s="309"/>
      <c r="G8" s="309"/>
      <c r="H8"/>
      <c r="I8"/>
    </row>
    <row r="9" spans="1:18" ht="7.5" customHeight="1">
      <c r="A9" s="333"/>
      <c r="B9" s="309"/>
      <c r="C9" s="309"/>
      <c r="D9" s="309"/>
      <c r="E9" s="309"/>
      <c r="F9" s="309"/>
      <c r="G9" s="309"/>
      <c r="H9"/>
      <c r="I9"/>
    </row>
    <row r="10" spans="1:18">
      <c r="A10" s="311" t="s">
        <v>1074</v>
      </c>
      <c r="B10" s="312"/>
      <c r="C10" s="312"/>
      <c r="D10" s="312"/>
      <c r="E10" s="1059" t="s">
        <v>1326</v>
      </c>
      <c r="F10" s="1059"/>
      <c r="G10" s="1059"/>
      <c r="H10"/>
      <c r="I10"/>
    </row>
    <row r="11" spans="1:18" ht="15" customHeight="1">
      <c r="A11" s="1058" t="s">
        <v>1041</v>
      </c>
      <c r="B11" s="1058"/>
      <c r="C11" s="1058"/>
      <c r="D11" s="1058"/>
      <c r="E11" s="1058"/>
      <c r="F11" s="1058"/>
      <c r="G11" s="1058"/>
      <c r="H11"/>
      <c r="I11"/>
    </row>
    <row r="12" spans="1:18">
      <c r="A12" s="1058"/>
      <c r="B12" s="1058"/>
      <c r="C12" s="1058"/>
      <c r="D12" s="1058"/>
      <c r="E12" s="1058"/>
      <c r="F12" s="1058"/>
      <c r="G12" s="1058"/>
      <c r="H12"/>
      <c r="I12"/>
    </row>
    <row r="13" spans="1:18">
      <c r="A13" s="1058"/>
      <c r="B13" s="1058"/>
      <c r="C13" s="1058"/>
      <c r="D13" s="1058"/>
      <c r="E13" s="1058"/>
      <c r="F13" s="1058"/>
      <c r="G13" s="1058"/>
      <c r="H13"/>
      <c r="I13" s="313"/>
    </row>
    <row r="14" spans="1:18">
      <c r="A14" s="1058"/>
      <c r="B14" s="1058"/>
      <c r="C14" s="1058"/>
      <c r="D14" s="1058"/>
      <c r="E14" s="1058"/>
      <c r="F14" s="1058"/>
      <c r="G14" s="1058"/>
      <c r="H14"/>
      <c r="I14"/>
    </row>
    <row r="15" spans="1:18">
      <c r="A15" s="1058"/>
      <c r="B15" s="1058"/>
      <c r="C15" s="1058"/>
      <c r="D15" s="1058"/>
      <c r="E15" s="1058"/>
      <c r="F15" s="1058"/>
      <c r="G15" s="1058"/>
      <c r="H15"/>
      <c r="I15"/>
    </row>
    <row r="16" spans="1:18">
      <c r="A16" s="1067" t="s">
        <v>1328</v>
      </c>
      <c r="B16" s="1067"/>
      <c r="C16" s="1067"/>
      <c r="D16" s="1067"/>
      <c r="E16" s="1067"/>
      <c r="F16" s="1067"/>
      <c r="G16" s="1067"/>
      <c r="H16"/>
      <c r="I16"/>
    </row>
    <row r="17" spans="1:15" ht="15" customHeight="1">
      <c r="A17" s="314"/>
      <c r="B17" s="314"/>
      <c r="C17" s="314"/>
      <c r="D17" s="314"/>
      <c r="E17" s="314"/>
      <c r="F17" s="314"/>
      <c r="G17" s="314"/>
    </row>
    <row r="18" spans="1:15" ht="15" customHeight="1">
      <c r="A18" s="311" t="s">
        <v>1143</v>
      </c>
      <c r="B18" s="312"/>
      <c r="C18" s="312"/>
      <c r="D18" s="312"/>
      <c r="E18" s="1059" t="s">
        <v>1327</v>
      </c>
      <c r="F18" s="1059"/>
      <c r="G18" s="1059"/>
    </row>
    <row r="19" spans="1:15" ht="15" customHeight="1">
      <c r="A19" s="1058" t="s">
        <v>1144</v>
      </c>
      <c r="B19" s="1058"/>
      <c r="C19" s="1058"/>
      <c r="D19" s="1058"/>
      <c r="E19" s="1058"/>
      <c r="F19" s="1058"/>
      <c r="G19" s="1058"/>
    </row>
    <row r="20" spans="1:15" ht="15" customHeight="1">
      <c r="A20" s="1058"/>
      <c r="B20" s="1058"/>
      <c r="C20" s="1058"/>
      <c r="D20" s="1058"/>
      <c r="E20" s="1058"/>
      <c r="F20" s="1058"/>
      <c r="G20" s="1058"/>
    </row>
    <row r="21" spans="1:15" ht="15" customHeight="1">
      <c r="A21" s="314"/>
      <c r="B21" s="314"/>
      <c r="C21" s="314"/>
      <c r="D21" s="314"/>
      <c r="E21" s="314"/>
      <c r="F21" s="314"/>
      <c r="G21" s="314"/>
    </row>
    <row r="22" spans="1:15">
      <c r="A22" s="311" t="s">
        <v>1068</v>
      </c>
      <c r="B22" s="312"/>
      <c r="C22" s="312"/>
      <c r="D22" s="312"/>
      <c r="E22" s="312"/>
      <c r="F22" s="1059" t="s">
        <v>1346</v>
      </c>
      <c r="G22" s="1059"/>
    </row>
    <row r="23" spans="1:15" ht="15" customHeight="1">
      <c r="A23" s="1058" t="s">
        <v>1365</v>
      </c>
      <c r="B23" s="1058"/>
      <c r="C23" s="1058"/>
      <c r="D23" s="1058"/>
      <c r="E23" s="1058"/>
      <c r="F23" s="1058"/>
      <c r="G23" s="1058"/>
    </row>
    <row r="24" spans="1:15">
      <c r="A24" s="1058"/>
      <c r="B24" s="1058"/>
      <c r="C24" s="1058"/>
      <c r="D24" s="1058"/>
      <c r="E24" s="1058"/>
      <c r="F24" s="1058"/>
      <c r="G24" s="1058"/>
    </row>
    <row r="25" spans="1:15">
      <c r="A25" s="1058"/>
      <c r="B25" s="1058"/>
      <c r="C25" s="1058"/>
      <c r="D25" s="1058"/>
      <c r="E25" s="1058"/>
      <c r="F25" s="1058"/>
      <c r="G25" s="1058"/>
    </row>
    <row r="26" spans="1:15" ht="15" customHeight="1">
      <c r="A26" s="1058" t="s">
        <v>1277</v>
      </c>
      <c r="B26" s="1058"/>
      <c r="C26" s="1058"/>
      <c r="D26" s="1058"/>
      <c r="E26" s="1058"/>
      <c r="F26" s="1058"/>
      <c r="G26" s="1058"/>
    </row>
    <row r="27" spans="1:15" ht="15" customHeight="1">
      <c r="A27" s="1058"/>
      <c r="B27" s="1058"/>
      <c r="C27" s="1058"/>
      <c r="D27" s="1058"/>
      <c r="E27" s="1058"/>
      <c r="F27" s="1058"/>
      <c r="G27" s="1058"/>
      <c r="J27" s="326"/>
      <c r="K27" s="326"/>
      <c r="L27" s="326"/>
      <c r="M27" s="326"/>
      <c r="N27" s="326"/>
      <c r="O27" s="326"/>
    </row>
    <row r="28" spans="1:15" ht="15" customHeight="1">
      <c r="A28" s="1058"/>
      <c r="B28" s="1058"/>
      <c r="C28" s="1058"/>
      <c r="D28" s="1058"/>
      <c r="E28" s="1058"/>
      <c r="F28" s="1058"/>
      <c r="G28" s="1058"/>
      <c r="J28" s="326"/>
      <c r="K28" s="326"/>
      <c r="L28" s="326"/>
      <c r="M28" s="326"/>
      <c r="N28" s="326"/>
      <c r="O28" s="326"/>
    </row>
    <row r="29" spans="1:15" ht="15" customHeight="1">
      <c r="A29" s="1058"/>
      <c r="B29" s="1058"/>
      <c r="C29" s="1058"/>
      <c r="D29" s="1058"/>
      <c r="E29" s="1058"/>
      <c r="F29" s="1058"/>
      <c r="G29" s="1058"/>
      <c r="J29" s="326"/>
      <c r="K29" s="326"/>
      <c r="L29" s="326"/>
      <c r="M29" s="326"/>
      <c r="N29" s="326"/>
      <c r="O29" s="326"/>
    </row>
    <row r="30" spans="1:15" ht="15" customHeight="1">
      <c r="A30" s="1058"/>
      <c r="B30" s="1058"/>
      <c r="C30" s="1058"/>
      <c r="D30" s="1058"/>
      <c r="E30" s="1058"/>
      <c r="F30" s="1058"/>
      <c r="G30" s="1058"/>
      <c r="J30" s="326"/>
      <c r="K30" s="326"/>
      <c r="L30" s="326"/>
      <c r="M30" s="326"/>
      <c r="N30" s="326"/>
      <c r="O30" s="326"/>
    </row>
    <row r="31" spans="1:15">
      <c r="A31" s="1058"/>
      <c r="B31" s="1058"/>
      <c r="C31" s="1058"/>
      <c r="D31" s="1058"/>
      <c r="E31" s="1058"/>
      <c r="F31" s="1058"/>
      <c r="G31" s="1058"/>
    </row>
    <row r="32" spans="1:15">
      <c r="A32" s="1058"/>
      <c r="B32" s="1058"/>
      <c r="C32" s="1058"/>
      <c r="D32" s="1058"/>
      <c r="E32" s="1058"/>
      <c r="F32" s="1058"/>
      <c r="G32" s="1058"/>
    </row>
    <row r="33" spans="1:15">
      <c r="A33" s="1058"/>
      <c r="B33" s="1058"/>
      <c r="C33" s="1058"/>
      <c r="D33" s="1058"/>
      <c r="E33" s="1058"/>
      <c r="F33" s="1058"/>
      <c r="G33" s="1058"/>
    </row>
    <row r="34" spans="1:15" ht="15" customHeight="1">
      <c r="A34" s="1063" t="s">
        <v>1364</v>
      </c>
      <c r="B34" s="1063"/>
      <c r="C34" s="1063"/>
      <c r="D34" s="1063"/>
      <c r="E34" s="1063"/>
      <c r="F34" s="1063"/>
      <c r="G34" s="1063"/>
    </row>
    <row r="35" spans="1:15">
      <c r="A35" s="1063"/>
      <c r="B35" s="1063"/>
      <c r="C35" s="1063"/>
      <c r="D35" s="1063"/>
      <c r="E35" s="1063"/>
      <c r="F35" s="1063"/>
      <c r="G35" s="1063"/>
    </row>
    <row r="36" spans="1:15" ht="15" customHeight="1">
      <c r="A36" s="1067" t="s">
        <v>1347</v>
      </c>
      <c r="B36" s="1067"/>
      <c r="C36" s="1067"/>
      <c r="D36" s="1067"/>
      <c r="E36" s="1067"/>
      <c r="F36" s="1067"/>
      <c r="G36" s="1067"/>
    </row>
    <row r="37" spans="1:15" ht="8.25" customHeight="1">
      <c r="A37" s="309"/>
      <c r="B37" s="309"/>
      <c r="C37" s="309"/>
      <c r="D37" s="309"/>
      <c r="E37" s="309"/>
      <c r="F37" s="309"/>
      <c r="G37" s="309"/>
    </row>
    <row r="38" spans="1:15">
      <c r="A38" s="1061" t="s">
        <v>1054</v>
      </c>
      <c r="B38" s="1061"/>
      <c r="C38" s="1061"/>
      <c r="D38" s="1059" t="s">
        <v>1326</v>
      </c>
      <c r="E38" s="1059"/>
      <c r="F38" s="1059"/>
      <c r="G38" s="1059"/>
    </row>
    <row r="39" spans="1:15">
      <c r="A39" s="1063" t="s">
        <v>1055</v>
      </c>
      <c r="B39" s="1063"/>
      <c r="C39" s="1063"/>
      <c r="D39" s="1063"/>
      <c r="E39" s="1063"/>
      <c r="F39" s="1063"/>
      <c r="G39" s="1063"/>
    </row>
    <row r="40" spans="1:15" ht="15.75" customHeight="1">
      <c r="A40" s="1061" t="s">
        <v>1200</v>
      </c>
      <c r="B40" s="1061"/>
      <c r="C40" s="1061"/>
      <c r="D40" s="1059" t="s">
        <v>1326</v>
      </c>
      <c r="E40" s="1059"/>
      <c r="F40" s="1059"/>
      <c r="G40" s="1059"/>
    </row>
    <row r="41" spans="1:15">
      <c r="A41" s="320" t="s">
        <v>1254</v>
      </c>
      <c r="B41" s="321"/>
      <c r="C41" s="321"/>
      <c r="D41" s="322"/>
      <c r="E41" s="322"/>
      <c r="F41" s="322"/>
      <c r="G41" s="322"/>
    </row>
    <row r="42" spans="1:15">
      <c r="A42" s="391" t="s">
        <v>3</v>
      </c>
      <c r="B42" s="391"/>
      <c r="C42" s="391"/>
      <c r="D42" s="392"/>
      <c r="E42" s="392"/>
      <c r="F42" s="392"/>
      <c r="G42" s="392" t="s">
        <v>1326</v>
      </c>
    </row>
    <row r="43" spans="1:15" ht="15" customHeight="1">
      <c r="A43" s="324" t="s">
        <v>1367</v>
      </c>
      <c r="B43" s="309"/>
      <c r="C43" s="309"/>
      <c r="D43" s="309"/>
      <c r="E43" s="309"/>
      <c r="F43" s="309"/>
      <c r="G43" s="309"/>
      <c r="I43" s="642"/>
      <c r="J43" s="642"/>
      <c r="K43" s="642"/>
      <c r="L43" s="642"/>
      <c r="M43" s="642"/>
      <c r="N43" s="642"/>
      <c r="O43" s="642"/>
    </row>
    <row r="44" spans="1:15">
      <c r="A44" s="311" t="s">
        <v>4</v>
      </c>
      <c r="B44" s="312"/>
      <c r="C44" s="312"/>
      <c r="D44" s="312"/>
      <c r="E44" s="1059" t="s">
        <v>1326</v>
      </c>
      <c r="F44" s="1059"/>
      <c r="G44" s="1059"/>
    </row>
    <row r="45" spans="1:15" ht="15" customHeight="1">
      <c r="A45" s="365" t="s">
        <v>1049</v>
      </c>
      <c r="B45" s="365"/>
      <c r="C45" s="365"/>
      <c r="D45" s="365"/>
      <c r="E45" s="365"/>
      <c r="F45" s="365"/>
      <c r="G45" s="365"/>
    </row>
    <row r="46" spans="1:15" ht="15" customHeight="1">
      <c r="A46" s="1086" t="s">
        <v>1366</v>
      </c>
      <c r="B46" s="1086"/>
      <c r="C46" s="1086"/>
      <c r="D46" s="1086"/>
      <c r="E46" s="1086"/>
      <c r="F46" s="1086"/>
      <c r="G46" s="1086"/>
    </row>
    <row r="47" spans="1:15">
      <c r="A47" s="1086"/>
      <c r="B47" s="1086"/>
      <c r="C47" s="1086"/>
      <c r="D47" s="1086"/>
      <c r="E47" s="1086"/>
      <c r="F47" s="1086"/>
      <c r="G47" s="1086"/>
    </row>
    <row r="48" spans="1:15" ht="15" customHeight="1">
      <c r="A48" s="365" t="s">
        <v>1348</v>
      </c>
      <c r="B48" s="664"/>
      <c r="C48" s="664"/>
      <c r="D48" s="664"/>
      <c r="E48" s="664"/>
      <c r="F48" s="664"/>
      <c r="G48" s="664"/>
    </row>
    <row r="49" spans="1:15" ht="15" customHeight="1">
      <c r="A49" s="365" t="s">
        <v>1349</v>
      </c>
      <c r="B49"/>
      <c r="C49"/>
      <c r="D49"/>
      <c r="E49"/>
      <c r="F49"/>
      <c r="G49"/>
    </row>
    <row r="50" spans="1:15" ht="15" customHeight="1">
      <c r="A50" s="365" t="s">
        <v>1350</v>
      </c>
      <c r="B50"/>
      <c r="C50"/>
      <c r="D50"/>
      <c r="E50"/>
      <c r="F50"/>
      <c r="G50"/>
    </row>
    <row r="51" spans="1:15" ht="15" customHeight="1">
      <c r="A51" s="365" t="s">
        <v>1351</v>
      </c>
      <c r="B51"/>
      <c r="C51"/>
      <c r="D51"/>
      <c r="E51"/>
      <c r="F51"/>
      <c r="G51"/>
    </row>
    <row r="52" spans="1:15">
      <c r="A52" s="334" t="s">
        <v>1354</v>
      </c>
      <c r="B52" s="310"/>
      <c r="C52" s="310"/>
      <c r="D52" s="310"/>
      <c r="E52" s="310"/>
      <c r="F52" s="310"/>
      <c r="G52" s="310"/>
    </row>
    <row r="53" spans="1:15" ht="15" customHeight="1">
      <c r="A53" s="1061" t="s">
        <v>1329</v>
      </c>
      <c r="B53" s="1061"/>
      <c r="C53" s="1061"/>
      <c r="D53" s="1059" t="s">
        <v>1326</v>
      </c>
      <c r="E53" s="1059"/>
      <c r="F53" s="1059"/>
      <c r="G53" s="1059"/>
    </row>
    <row r="54" spans="1:15">
      <c r="A54" s="1062" t="s">
        <v>1056</v>
      </c>
      <c r="B54" s="1062"/>
      <c r="C54" s="1062"/>
      <c r="D54" s="1062"/>
      <c r="E54" s="1062"/>
      <c r="F54" s="1062"/>
      <c r="G54" s="1062"/>
    </row>
    <row r="55" spans="1:15">
      <c r="A55" s="1062"/>
      <c r="B55" s="1062"/>
      <c r="C55" s="1062"/>
      <c r="D55" s="1062"/>
      <c r="E55" s="1062"/>
      <c r="F55" s="1062"/>
      <c r="G55" s="1062"/>
    </row>
    <row r="56" spans="1:15" s="336" customFormat="1" ht="19.5" customHeight="1">
      <c r="A56" s="1062"/>
      <c r="B56" s="1062"/>
      <c r="C56" s="1062"/>
      <c r="D56" s="1062"/>
      <c r="E56" s="1062"/>
      <c r="F56" s="1062"/>
      <c r="G56" s="1062"/>
    </row>
    <row r="57" spans="1:15">
      <c r="A57" s="1061" t="s">
        <v>1355</v>
      </c>
      <c r="B57" s="1061"/>
      <c r="C57" s="1061"/>
      <c r="D57" s="1059" t="s">
        <v>1326</v>
      </c>
      <c r="E57" s="1059"/>
      <c r="F57" s="1059"/>
      <c r="G57" s="1059"/>
    </row>
    <row r="58" spans="1:15" ht="15" customHeight="1">
      <c r="A58" s="1063" t="s">
        <v>1368</v>
      </c>
      <c r="B58" s="1063"/>
      <c r="C58" s="1063"/>
      <c r="D58" s="1063"/>
      <c r="E58" s="1063"/>
      <c r="F58" s="1063"/>
      <c r="G58" s="1063"/>
    </row>
    <row r="59" spans="1:15">
      <c r="A59" s="1063"/>
      <c r="B59" s="1063"/>
      <c r="C59" s="1063"/>
      <c r="D59" s="1063"/>
      <c r="E59" s="1063"/>
      <c r="F59" s="1063"/>
      <c r="G59" s="1063"/>
    </row>
    <row r="60" spans="1:15" ht="15" customHeight="1">
      <c r="A60" s="365" t="s">
        <v>1145</v>
      </c>
      <c r="B60" s="310"/>
      <c r="C60" s="310"/>
      <c r="D60" s="310"/>
      <c r="E60" s="310"/>
      <c r="F60" s="310"/>
      <c r="G60" s="310"/>
    </row>
    <row r="61" spans="1:15" ht="17.25" customHeight="1">
      <c r="A61" s="1061" t="s">
        <v>1147</v>
      </c>
      <c r="B61" s="1061"/>
      <c r="C61" s="1061"/>
      <c r="D61" s="1059" t="s">
        <v>1326</v>
      </c>
      <c r="E61" s="1059"/>
      <c r="F61" s="1059"/>
      <c r="G61" s="1059"/>
      <c r="I61" s="211"/>
      <c r="J61" s="210"/>
      <c r="K61" s="210"/>
      <c r="L61" s="210"/>
      <c r="M61" s="210"/>
      <c r="N61" s="210"/>
      <c r="O61" s="210"/>
    </row>
    <row r="62" spans="1:15" ht="17.25" customHeight="1">
      <c r="A62" s="1060" t="s">
        <v>1146</v>
      </c>
      <c r="B62" s="1060"/>
      <c r="C62" s="1060"/>
      <c r="D62" s="1060"/>
      <c r="E62" s="1060"/>
      <c r="F62" s="1060"/>
      <c r="G62" s="1060"/>
      <c r="I62" s="210"/>
      <c r="J62" s="210"/>
      <c r="K62" s="210"/>
      <c r="L62" s="210"/>
      <c r="M62" s="210"/>
      <c r="N62" s="210"/>
      <c r="O62" s="210"/>
    </row>
    <row r="63" spans="1:15" ht="17.25" customHeight="1">
      <c r="A63" s="1060"/>
      <c r="B63" s="1060"/>
      <c r="C63" s="1060"/>
      <c r="D63" s="1060"/>
      <c r="E63" s="1060"/>
      <c r="F63" s="1060"/>
      <c r="G63" s="1060"/>
      <c r="I63" s="210"/>
      <c r="K63" s="210"/>
      <c r="L63" s="210"/>
      <c r="M63" s="210"/>
      <c r="N63" s="210"/>
      <c r="O63" s="210"/>
    </row>
    <row r="64" spans="1:15" ht="17.25" customHeight="1">
      <c r="A64" s="1060"/>
      <c r="B64" s="1060"/>
      <c r="C64" s="1060"/>
      <c r="D64" s="1060"/>
      <c r="E64" s="1060"/>
      <c r="F64" s="1060"/>
      <c r="G64" s="1060"/>
      <c r="I64" s="210"/>
      <c r="K64" s="210"/>
      <c r="L64" s="210"/>
      <c r="M64" s="210"/>
      <c r="N64" s="210"/>
      <c r="O64" s="210"/>
    </row>
    <row r="65" spans="1:9" ht="17.25" customHeight="1">
      <c r="A65" s="1061" t="s">
        <v>597</v>
      </c>
      <c r="B65" s="1061"/>
      <c r="C65" s="1061"/>
      <c r="D65" s="1059" t="s">
        <v>1330</v>
      </c>
      <c r="E65" s="1059"/>
      <c r="F65" s="1059"/>
      <c r="G65" s="1059"/>
    </row>
    <row r="66" spans="1:9" ht="17.25" customHeight="1">
      <c r="A66" s="1065" t="s">
        <v>1060</v>
      </c>
      <c r="B66" s="1065"/>
      <c r="C66" s="1065"/>
      <c r="D66" s="1065"/>
      <c r="E66" s="1065"/>
      <c r="F66" s="1065"/>
      <c r="G66" s="1065"/>
    </row>
    <row r="67" spans="1:9" ht="17.25" customHeight="1">
      <c r="A67" s="1065"/>
      <c r="B67" s="1065"/>
      <c r="C67" s="1065"/>
      <c r="D67" s="1065"/>
      <c r="E67" s="1065"/>
      <c r="F67" s="1065"/>
      <c r="G67" s="1065"/>
    </row>
    <row r="68" spans="1:9" ht="17.25" customHeight="1">
      <c r="A68" s="1066" t="s">
        <v>1061</v>
      </c>
      <c r="B68" s="1066"/>
      <c r="C68" s="1066"/>
      <c r="D68" s="1066"/>
      <c r="E68" s="1066"/>
      <c r="F68" s="1066"/>
      <c r="G68" s="1066"/>
    </row>
    <row r="69" spans="1:9" ht="17.25" customHeight="1">
      <c r="A69" s="1066"/>
      <c r="B69" s="1066"/>
      <c r="C69" s="1066"/>
      <c r="D69" s="1066"/>
      <c r="E69" s="1066"/>
      <c r="F69" s="1066"/>
      <c r="G69" s="1066"/>
    </row>
    <row r="70" spans="1:9" ht="17.25" customHeight="1">
      <c r="A70" s="1066"/>
      <c r="B70" s="1066"/>
      <c r="C70" s="1066"/>
      <c r="D70" s="1066"/>
      <c r="E70" s="1066"/>
      <c r="F70" s="1066"/>
      <c r="G70" s="1066"/>
    </row>
    <row r="71" spans="1:9">
      <c r="A71" s="1066"/>
      <c r="B71" s="1066"/>
      <c r="C71" s="1066"/>
      <c r="D71" s="1066"/>
      <c r="E71" s="1066"/>
      <c r="F71" s="1066"/>
      <c r="G71" s="1066"/>
    </row>
    <row r="72" spans="1:9" ht="15" customHeight="1">
      <c r="A72" s="1061" t="s">
        <v>592</v>
      </c>
      <c r="B72" s="1061"/>
      <c r="C72" s="1061"/>
      <c r="D72" s="1059" t="s">
        <v>1326</v>
      </c>
      <c r="E72" s="1059"/>
      <c r="F72" s="1059"/>
      <c r="G72" s="1059"/>
    </row>
    <row r="73" spans="1:9" ht="15" customHeight="1">
      <c r="A73" s="1062" t="s">
        <v>1057</v>
      </c>
      <c r="B73" s="1062"/>
      <c r="C73" s="1062"/>
      <c r="D73" s="1062"/>
      <c r="E73" s="1062"/>
      <c r="F73" s="1062"/>
      <c r="G73" s="1062"/>
    </row>
    <row r="74" spans="1:9" ht="15" customHeight="1">
      <c r="A74" s="1062"/>
      <c r="B74" s="1062"/>
      <c r="C74" s="1062"/>
      <c r="D74" s="1062"/>
      <c r="E74" s="1062"/>
      <c r="F74" s="1062"/>
      <c r="G74" s="1062"/>
    </row>
    <row r="75" spans="1:9" ht="15" customHeight="1">
      <c r="A75" s="1062"/>
      <c r="B75" s="1062"/>
      <c r="C75" s="1062"/>
      <c r="D75" s="1062"/>
      <c r="E75" s="1062"/>
      <c r="F75" s="1062"/>
      <c r="G75" s="1062"/>
    </row>
    <row r="76" spans="1:9">
      <c r="A76" s="1062"/>
      <c r="B76" s="1062"/>
      <c r="C76" s="1062"/>
      <c r="D76" s="1062"/>
      <c r="E76" s="1062"/>
      <c r="F76" s="1062"/>
      <c r="G76" s="1062"/>
      <c r="I76" s="599"/>
    </row>
    <row r="77" spans="1:9" ht="9" customHeight="1">
      <c r="A77" s="309"/>
      <c r="B77" s="309"/>
      <c r="C77" s="309"/>
      <c r="D77" s="309"/>
      <c r="E77" s="309"/>
      <c r="F77" s="309"/>
      <c r="G77" s="309"/>
    </row>
    <row r="78" spans="1:9" ht="15" customHeight="1">
      <c r="A78" s="1061" t="s">
        <v>593</v>
      </c>
      <c r="B78" s="1061"/>
      <c r="C78" s="1061"/>
      <c r="D78" s="1059" t="s">
        <v>1338</v>
      </c>
      <c r="E78" s="1059"/>
      <c r="F78" s="1059"/>
      <c r="G78" s="1059"/>
    </row>
    <row r="79" spans="1:9" ht="8.25" customHeight="1">
      <c r="A79" s="1062" t="s">
        <v>1359</v>
      </c>
      <c r="B79" s="1062"/>
      <c r="C79" s="1062"/>
      <c r="D79" s="1062"/>
      <c r="E79" s="1062"/>
      <c r="F79" s="1062"/>
      <c r="G79" s="1062"/>
    </row>
    <row r="80" spans="1:9" ht="17.25" customHeight="1">
      <c r="A80" s="1062"/>
      <c r="B80" s="1062"/>
      <c r="C80" s="1062"/>
      <c r="D80" s="1062"/>
      <c r="E80" s="1062"/>
      <c r="F80" s="1062"/>
      <c r="G80" s="1062"/>
    </row>
    <row r="81" spans="1:15" ht="17.25" customHeight="1">
      <c r="A81" s="1062"/>
      <c r="B81" s="1062"/>
      <c r="C81" s="1062"/>
      <c r="D81" s="1062"/>
      <c r="E81" s="1062"/>
      <c r="F81" s="1062"/>
      <c r="G81" s="1062"/>
    </row>
    <row r="82" spans="1:15" ht="17.25" customHeight="1">
      <c r="A82" s="1062"/>
      <c r="B82" s="1062"/>
      <c r="C82" s="1062"/>
      <c r="D82" s="1062"/>
      <c r="E82" s="1062"/>
      <c r="F82" s="1062"/>
      <c r="G82" s="1062"/>
    </row>
    <row r="83" spans="1:15" ht="17.25" customHeight="1">
      <c r="A83" s="1062"/>
      <c r="B83" s="1062"/>
      <c r="C83" s="1062"/>
      <c r="D83" s="1062"/>
      <c r="E83" s="1062"/>
      <c r="F83" s="1062"/>
      <c r="G83" s="1062"/>
    </row>
    <row r="84" spans="1:15" ht="17.25" customHeight="1"/>
    <row r="85" spans="1:15" ht="17.25" customHeight="1">
      <c r="A85" s="1061" t="s">
        <v>594</v>
      </c>
      <c r="B85" s="1061"/>
      <c r="C85" s="1061"/>
      <c r="D85" s="1059" t="s">
        <v>1326</v>
      </c>
      <c r="E85" s="1059"/>
      <c r="F85" s="1059"/>
      <c r="G85" s="1059"/>
    </row>
    <row r="86" spans="1:15" ht="17.25" customHeight="1">
      <c r="A86" s="1062" t="s">
        <v>1270</v>
      </c>
      <c r="B86" s="1062"/>
      <c r="C86" s="1062"/>
      <c r="D86" s="1062"/>
      <c r="E86" s="1062"/>
      <c r="F86" s="1062"/>
      <c r="G86" s="1062"/>
      <c r="I86" s="198"/>
    </row>
    <row r="87" spans="1:15" ht="17.25" customHeight="1">
      <c r="A87" s="1062"/>
      <c r="B87" s="1062"/>
      <c r="C87" s="1062"/>
      <c r="D87" s="1062"/>
      <c r="E87" s="1062"/>
      <c r="F87" s="1062"/>
      <c r="G87" s="1062"/>
      <c r="I87" s="210"/>
      <c r="K87" s="210"/>
      <c r="L87" s="210"/>
      <c r="M87" s="210"/>
      <c r="N87" s="210"/>
      <c r="O87" s="210"/>
    </row>
    <row r="88" spans="1:15" ht="17.25" customHeight="1">
      <c r="A88" s="742" t="s">
        <v>1478</v>
      </c>
      <c r="B88" s="742"/>
      <c r="C88" s="742"/>
      <c r="D88" s="746"/>
      <c r="E88" s="368"/>
      <c r="F88" s="368"/>
      <c r="G88" s="741" t="s">
        <v>1326</v>
      </c>
    </row>
    <row r="89" spans="1:15" ht="17.25" customHeight="1">
      <c r="A89" s="418" t="s">
        <v>1201</v>
      </c>
      <c r="B89" s="568"/>
      <c r="C89" s="568"/>
      <c r="D89" s="568"/>
      <c r="E89" s="568"/>
      <c r="F89" s="568"/>
      <c r="G89" s="568"/>
    </row>
    <row r="90" spans="1:15" ht="17.25" customHeight="1">
      <c r="A90" s="418" t="s">
        <v>1255</v>
      </c>
      <c r="B90" s="568"/>
      <c r="C90" s="568"/>
      <c r="D90" s="568"/>
      <c r="E90" s="568"/>
      <c r="F90" s="568"/>
      <c r="G90" s="568"/>
    </row>
    <row r="91" spans="1:15" ht="17.25" customHeight="1">
      <c r="A91" s="1065" t="s">
        <v>1369</v>
      </c>
      <c r="B91" s="1065"/>
      <c r="C91" s="1065"/>
      <c r="D91" s="1065"/>
      <c r="E91" s="1065"/>
      <c r="F91" s="1065"/>
      <c r="G91" s="1065"/>
    </row>
    <row r="92" spans="1:15" ht="17.25" customHeight="1">
      <c r="A92" s="1065"/>
      <c r="B92" s="1065"/>
      <c r="C92" s="1065"/>
      <c r="D92" s="1065"/>
      <c r="E92" s="1065"/>
      <c r="F92" s="1065"/>
      <c r="G92" s="1065"/>
    </row>
    <row r="93" spans="1:15" ht="17.25" customHeight="1">
      <c r="A93" s="568" t="s">
        <v>1148</v>
      </c>
      <c r="B93" s="568"/>
      <c r="C93" s="568"/>
      <c r="D93" s="568"/>
      <c r="E93" s="568"/>
      <c r="F93" s="568"/>
      <c r="G93" s="568"/>
    </row>
    <row r="94" spans="1:15" ht="15" customHeight="1">
      <c r="A94" s="1061" t="s">
        <v>1066</v>
      </c>
      <c r="B94" s="1061"/>
      <c r="C94" s="1061"/>
      <c r="D94" s="1059" t="s">
        <v>1387</v>
      </c>
      <c r="E94" s="1059"/>
      <c r="F94" s="1059"/>
      <c r="G94" s="1059"/>
    </row>
    <row r="95" spans="1:15">
      <c r="A95" s="1058" t="s">
        <v>1370</v>
      </c>
      <c r="B95" s="1058"/>
      <c r="C95" s="1058"/>
      <c r="D95" s="1058"/>
      <c r="E95" s="1058"/>
      <c r="F95" s="1058"/>
      <c r="G95" s="1058"/>
    </row>
    <row r="96" spans="1:15" ht="15" customHeight="1">
      <c r="A96" s="1058"/>
      <c r="B96" s="1058"/>
      <c r="C96" s="1058"/>
      <c r="D96" s="1058"/>
      <c r="E96" s="1058"/>
      <c r="F96" s="1058"/>
      <c r="G96" s="1058"/>
    </row>
    <row r="97" spans="1:17">
      <c r="A97" s="1058"/>
      <c r="B97" s="1058"/>
      <c r="C97" s="1058"/>
      <c r="D97" s="1058"/>
      <c r="E97" s="1058"/>
      <c r="F97" s="1058"/>
      <c r="G97" s="1058"/>
    </row>
    <row r="98" spans="1:17">
      <c r="A98" s="1058"/>
      <c r="B98" s="1058"/>
      <c r="C98" s="1058"/>
      <c r="D98" s="1058"/>
      <c r="E98" s="1058"/>
      <c r="F98" s="1058"/>
      <c r="G98" s="1058"/>
    </row>
    <row r="99" spans="1:17" ht="15" customHeight="1">
      <c r="A99" s="1058"/>
      <c r="B99" s="1058"/>
      <c r="C99" s="1058"/>
      <c r="D99" s="1058"/>
      <c r="E99" s="1058"/>
      <c r="F99" s="1058"/>
      <c r="G99" s="1058"/>
      <c r="J99" s="309"/>
      <c r="K99" s="309"/>
      <c r="L99" s="309"/>
      <c r="M99" s="309"/>
      <c r="N99" s="309"/>
      <c r="O99" s="309"/>
      <c r="P99" s="309"/>
    </row>
    <row r="100" spans="1:17">
      <c r="A100" s="1058"/>
      <c r="B100" s="1058"/>
      <c r="C100" s="1058"/>
      <c r="D100" s="1058"/>
      <c r="E100" s="1058"/>
      <c r="F100" s="1058"/>
      <c r="G100" s="1058"/>
    </row>
    <row r="101" spans="1:17">
      <c r="A101" s="1061" t="s">
        <v>1065</v>
      </c>
      <c r="B101" s="1061"/>
      <c r="C101" s="1061"/>
      <c r="D101" s="316"/>
      <c r="E101" s="316"/>
      <c r="F101" s="316"/>
      <c r="G101" s="316" t="s">
        <v>1451</v>
      </c>
    </row>
    <row r="102" spans="1:17" ht="15" customHeight="1">
      <c r="A102" s="1058" t="s">
        <v>1271</v>
      </c>
      <c r="B102" s="1058"/>
      <c r="C102" s="1058"/>
      <c r="D102" s="1058"/>
      <c r="E102" s="1058"/>
      <c r="F102" s="1058"/>
      <c r="G102" s="1058"/>
    </row>
    <row r="103" spans="1:17" ht="15" customHeight="1">
      <c r="A103" s="1058"/>
      <c r="B103" s="1058"/>
      <c r="C103" s="1058"/>
      <c r="D103" s="1058"/>
      <c r="E103" s="1058"/>
      <c r="F103" s="1058"/>
      <c r="G103" s="1058"/>
    </row>
    <row r="104" spans="1:17">
      <c r="A104" s="1061" t="s">
        <v>1067</v>
      </c>
      <c r="B104" s="1061"/>
      <c r="C104" s="1061"/>
      <c r="D104" s="1059" t="s">
        <v>1343</v>
      </c>
      <c r="E104" s="1059"/>
      <c r="F104" s="1059"/>
      <c r="G104" s="1059"/>
    </row>
    <row r="105" spans="1:17" ht="15" customHeight="1">
      <c r="A105" s="1065" t="s">
        <v>1202</v>
      </c>
      <c r="B105" s="1065"/>
      <c r="C105" s="1065"/>
      <c r="D105" s="1065"/>
      <c r="E105" s="1065"/>
      <c r="F105" s="1065"/>
      <c r="G105" s="1065"/>
    </row>
    <row r="106" spans="1:17">
      <c r="A106" s="1065"/>
      <c r="B106" s="1065"/>
      <c r="C106" s="1065"/>
      <c r="D106" s="1065"/>
      <c r="E106" s="1065"/>
      <c r="F106" s="1065"/>
      <c r="G106" s="1065"/>
      <c r="Q106" s="315"/>
    </row>
    <row r="107" spans="1:17">
      <c r="A107" s="1061" t="s">
        <v>1272</v>
      </c>
      <c r="B107" s="1061"/>
      <c r="C107" s="1061"/>
      <c r="D107" s="1061"/>
      <c r="E107" s="1059" t="s">
        <v>1331</v>
      </c>
      <c r="F107" s="1059"/>
      <c r="G107" s="1059"/>
      <c r="J107" s="1057"/>
      <c r="K107" s="1057"/>
      <c r="L107" s="1057"/>
      <c r="M107" s="1057"/>
      <c r="N107" s="1057"/>
      <c r="O107" s="1057"/>
      <c r="P107" s="1057"/>
    </row>
    <row r="108" spans="1:17" ht="15" customHeight="1">
      <c r="A108" s="1058" t="s">
        <v>1203</v>
      </c>
      <c r="B108" s="1058"/>
      <c r="C108" s="1058"/>
      <c r="D108" s="1058"/>
      <c r="E108" s="1058"/>
      <c r="F108" s="1058"/>
      <c r="G108" s="1058"/>
      <c r="J108" s="1064"/>
      <c r="K108" s="1064"/>
      <c r="L108" s="1064"/>
      <c r="M108" s="1064"/>
      <c r="N108" s="1064"/>
      <c r="O108" s="1064"/>
      <c r="P108" s="1064"/>
    </row>
    <row r="109" spans="1:17">
      <c r="A109" s="1058"/>
      <c r="B109" s="1058"/>
      <c r="C109" s="1058"/>
      <c r="D109" s="1058"/>
      <c r="E109" s="1058"/>
      <c r="F109" s="1058"/>
      <c r="G109" s="1058"/>
      <c r="J109" s="1057"/>
      <c r="K109" s="1057"/>
      <c r="L109" s="1057"/>
      <c r="M109" s="1057"/>
      <c r="N109" s="1057"/>
      <c r="O109" s="1057"/>
      <c r="P109" s="1057"/>
    </row>
    <row r="110" spans="1:17">
      <c r="A110" s="1058" t="s">
        <v>1361</v>
      </c>
      <c r="B110" s="1058"/>
      <c r="C110" s="1058"/>
      <c r="D110" s="1058"/>
      <c r="E110" s="1058"/>
      <c r="F110" s="1058"/>
      <c r="G110" s="1058"/>
    </row>
    <row r="111" spans="1:17" ht="15" customHeight="1">
      <c r="A111" s="1058"/>
      <c r="B111" s="1058"/>
      <c r="C111" s="1058"/>
      <c r="D111" s="1058"/>
      <c r="E111" s="1058"/>
      <c r="F111" s="1058"/>
      <c r="G111" s="1058"/>
    </row>
    <row r="112" spans="1:17">
      <c r="A112" s="1058"/>
      <c r="B112" s="1058"/>
      <c r="C112" s="1058"/>
      <c r="D112" s="1058"/>
      <c r="E112" s="1058"/>
      <c r="F112" s="1058"/>
      <c r="G112" s="1058"/>
    </row>
    <row r="113" spans="1:9">
      <c r="A113" s="1061" t="s">
        <v>1256</v>
      </c>
      <c r="B113" s="1061"/>
      <c r="C113" s="1061"/>
      <c r="D113" s="1061"/>
      <c r="E113" s="1059" t="s">
        <v>1452</v>
      </c>
      <c r="F113" s="1059"/>
      <c r="G113" s="1059"/>
    </row>
    <row r="114" spans="1:9">
      <c r="A114" s="1058" t="s">
        <v>1064</v>
      </c>
      <c r="B114" s="1058"/>
      <c r="C114" s="1058"/>
      <c r="D114" s="1058"/>
      <c r="E114" s="1058"/>
      <c r="F114" s="1058"/>
      <c r="G114" s="1058"/>
    </row>
    <row r="115" spans="1:9" ht="15" customHeight="1">
      <c r="A115" s="1058"/>
      <c r="B115" s="1058"/>
      <c r="C115" s="1058"/>
      <c r="D115" s="1058"/>
      <c r="E115" s="1058"/>
      <c r="F115" s="1058"/>
      <c r="G115" s="1058"/>
    </row>
    <row r="116" spans="1:9">
      <c r="A116" s="1058"/>
      <c r="B116" s="1058"/>
      <c r="C116" s="1058"/>
      <c r="D116" s="1058"/>
      <c r="E116" s="1058"/>
      <c r="F116" s="1058"/>
      <c r="G116" s="1058"/>
    </row>
    <row r="117" spans="1:9">
      <c r="A117" s="1058" t="s">
        <v>1204</v>
      </c>
      <c r="B117" s="1058"/>
      <c r="C117" s="1058"/>
      <c r="D117" s="1058"/>
      <c r="E117" s="1058"/>
      <c r="F117" s="1058"/>
      <c r="G117" s="1058"/>
    </row>
    <row r="118" spans="1:9" ht="15" customHeight="1">
      <c r="A118" s="1058"/>
      <c r="B118" s="1058"/>
      <c r="C118" s="1058"/>
      <c r="D118" s="1058"/>
      <c r="E118" s="1058"/>
      <c r="F118" s="1058"/>
      <c r="G118" s="1058"/>
    </row>
    <row r="119" spans="1:9" s="336" customFormat="1" ht="19.5" customHeight="1">
      <c r="A119" s="334" t="s">
        <v>274</v>
      </c>
      <c r="B119" s="335"/>
      <c r="C119" s="335"/>
      <c r="D119" s="335"/>
      <c r="E119" s="335"/>
      <c r="F119" s="335"/>
      <c r="G119" s="335"/>
    </row>
    <row r="120" spans="1:9" ht="15" customHeight="1">
      <c r="A120" s="1061" t="s">
        <v>1235</v>
      </c>
      <c r="B120" s="1061"/>
      <c r="C120" s="1059" t="s">
        <v>1332</v>
      </c>
      <c r="D120" s="1059"/>
      <c r="E120" s="1059"/>
      <c r="F120" s="1059"/>
      <c r="G120" s="1059"/>
    </row>
    <row r="121" spans="1:9">
      <c r="A121" s="1058" t="s">
        <v>1149</v>
      </c>
      <c r="B121" s="1058"/>
      <c r="C121" s="1058"/>
      <c r="D121" s="1058"/>
      <c r="E121" s="1058"/>
      <c r="F121" s="1058"/>
      <c r="G121" s="1058"/>
    </row>
    <row r="122" spans="1:9">
      <c r="A122" s="1058"/>
      <c r="B122" s="1058"/>
      <c r="C122" s="1058"/>
      <c r="D122" s="1058"/>
      <c r="E122" s="1058"/>
      <c r="F122" s="1058"/>
      <c r="G122" s="1058"/>
    </row>
    <row r="123" spans="1:9" ht="15" customHeight="1">
      <c r="A123" s="316" t="s">
        <v>1236</v>
      </c>
      <c r="B123" s="316"/>
      <c r="C123" s="316"/>
      <c r="D123" s="368"/>
      <c r="E123" s="368"/>
      <c r="F123" s="368"/>
      <c r="G123" s="663" t="s">
        <v>1332</v>
      </c>
    </row>
    <row r="124" spans="1:9" ht="15" customHeight="1">
      <c r="A124" s="1058" t="s">
        <v>1042</v>
      </c>
      <c r="B124" s="1058"/>
      <c r="C124" s="1058"/>
      <c r="D124" s="1058"/>
      <c r="E124" s="1058"/>
      <c r="F124" s="1058"/>
      <c r="G124" s="1058"/>
    </row>
    <row r="125" spans="1:9" ht="15" customHeight="1">
      <c r="A125" s="1058"/>
      <c r="B125" s="1058"/>
      <c r="C125" s="1058"/>
      <c r="D125" s="1058"/>
      <c r="E125" s="1058"/>
      <c r="F125" s="1058"/>
      <c r="G125" s="1058"/>
    </row>
    <row r="126" spans="1:9">
      <c r="A126" s="1058"/>
      <c r="B126" s="1058"/>
      <c r="C126" s="1058"/>
      <c r="D126" s="1058"/>
      <c r="E126" s="1058"/>
      <c r="F126" s="1058"/>
      <c r="G126" s="1058"/>
      <c r="H126"/>
      <c r="I126"/>
    </row>
    <row r="127" spans="1:9" ht="15" customHeight="1">
      <c r="A127" s="316" t="s">
        <v>709</v>
      </c>
      <c r="B127" s="316"/>
      <c r="C127" s="316"/>
      <c r="D127" s="1059" t="s">
        <v>1332</v>
      </c>
      <c r="E127" s="1059"/>
      <c r="F127" s="1059"/>
      <c r="G127" s="1059"/>
    </row>
    <row r="128" spans="1:9">
      <c r="A128" s="1058" t="s">
        <v>1044</v>
      </c>
      <c r="B128" s="1058"/>
      <c r="C128" s="1058"/>
      <c r="D128" s="1058"/>
      <c r="E128" s="1058"/>
      <c r="F128" s="1058"/>
      <c r="G128" s="1058"/>
    </row>
    <row r="129" spans="1:7">
      <c r="A129" s="1058"/>
      <c r="B129" s="1058"/>
      <c r="C129" s="1058"/>
      <c r="D129" s="1058"/>
      <c r="E129" s="1058"/>
      <c r="F129" s="1058"/>
      <c r="G129" s="1058"/>
    </row>
    <row r="130" spans="1:7">
      <c r="A130" s="1058" t="s">
        <v>1045</v>
      </c>
      <c r="B130" s="1058"/>
      <c r="C130" s="1058"/>
      <c r="D130" s="1058"/>
      <c r="E130" s="1058"/>
      <c r="F130" s="1058"/>
      <c r="G130" s="1058"/>
    </row>
    <row r="131" spans="1:7">
      <c r="A131" s="1058"/>
      <c r="B131" s="1058"/>
      <c r="C131" s="1058"/>
      <c r="D131" s="1058"/>
      <c r="E131" s="1058"/>
      <c r="F131" s="1058"/>
      <c r="G131" s="1058"/>
    </row>
    <row r="132" spans="1:7" ht="15" customHeight="1">
      <c r="A132" s="1058"/>
      <c r="B132" s="1058"/>
      <c r="C132" s="1058"/>
      <c r="D132" s="1058"/>
      <c r="E132" s="1058"/>
      <c r="F132" s="1058"/>
      <c r="G132" s="1058"/>
    </row>
    <row r="133" spans="1:7">
      <c r="A133" s="1068" t="s">
        <v>1046</v>
      </c>
      <c r="B133" s="1068"/>
      <c r="C133" s="1068"/>
      <c r="D133" s="1068"/>
      <c r="E133" s="1068"/>
      <c r="F133" s="1068"/>
      <c r="G133" s="1068"/>
    </row>
    <row r="134" spans="1:7">
      <c r="A134" s="1068"/>
      <c r="B134" s="1068"/>
      <c r="C134" s="1068"/>
      <c r="D134" s="1068"/>
      <c r="E134" s="1068"/>
      <c r="F134" s="1068"/>
      <c r="G134" s="1068"/>
    </row>
    <row r="135" spans="1:7" ht="15" customHeight="1">
      <c r="A135" s="1067" t="s">
        <v>1334</v>
      </c>
      <c r="B135" s="1067"/>
      <c r="C135" s="1067"/>
      <c r="D135" s="1067"/>
      <c r="E135" s="1067"/>
      <c r="F135" s="1067"/>
      <c r="G135" s="1067"/>
    </row>
    <row r="136" spans="1:7" ht="15" customHeight="1">
      <c r="A136" s="316" t="s">
        <v>1072</v>
      </c>
      <c r="B136" s="316"/>
      <c r="C136" s="316"/>
      <c r="D136" s="1059" t="s">
        <v>1073</v>
      </c>
      <c r="E136" s="1059"/>
      <c r="F136" s="1059"/>
      <c r="G136" s="1059"/>
    </row>
    <row r="137" spans="1:7" ht="15" customHeight="1">
      <c r="A137" s="1065" t="s">
        <v>1150</v>
      </c>
      <c r="B137" s="1065"/>
      <c r="C137" s="1065"/>
      <c r="D137" s="1065"/>
      <c r="E137" s="1065"/>
      <c r="F137" s="1065"/>
      <c r="G137" s="1065"/>
    </row>
    <row r="138" spans="1:7">
      <c r="A138" s="1065"/>
      <c r="B138" s="1065"/>
      <c r="C138" s="1065"/>
      <c r="D138" s="1065"/>
      <c r="E138" s="1065"/>
      <c r="F138" s="1065"/>
      <c r="G138" s="1065"/>
    </row>
    <row r="139" spans="1:7">
      <c r="A139" s="1065"/>
      <c r="B139" s="1065"/>
      <c r="C139" s="1065"/>
      <c r="D139" s="1065"/>
      <c r="E139" s="1065"/>
      <c r="F139" s="1065"/>
      <c r="G139" s="1065"/>
    </row>
    <row r="140" spans="1:7">
      <c r="A140" s="1065"/>
      <c r="B140" s="1065"/>
      <c r="C140" s="1065"/>
      <c r="D140" s="1065"/>
      <c r="E140" s="1065"/>
      <c r="F140" s="1065"/>
      <c r="G140" s="1065"/>
    </row>
    <row r="141" spans="1:7">
      <c r="A141" s="369" t="s">
        <v>1257</v>
      </c>
      <c r="B141" s="328"/>
      <c r="C141" s="328"/>
      <c r="D141" s="328"/>
      <c r="E141" s="328"/>
      <c r="F141" s="328"/>
      <c r="G141" s="328"/>
    </row>
    <row r="142" spans="1:7">
      <c r="A142" s="1061" t="s">
        <v>683</v>
      </c>
      <c r="B142" s="1061"/>
      <c r="C142" s="1061"/>
      <c r="D142" s="1059" t="s">
        <v>1333</v>
      </c>
      <c r="E142" s="1059"/>
      <c r="F142" s="1059"/>
      <c r="G142" s="1059"/>
    </row>
    <row r="143" spans="1:7" ht="18.75" customHeight="1">
      <c r="A143" s="1063" t="s">
        <v>1279</v>
      </c>
      <c r="B143" s="1063"/>
      <c r="C143" s="1063"/>
      <c r="D143" s="1063"/>
      <c r="E143" s="1063"/>
      <c r="F143" s="1063"/>
      <c r="G143" s="1063"/>
    </row>
    <row r="144" spans="1:7" ht="15.75" customHeight="1">
      <c r="A144" s="1068" t="s">
        <v>1362</v>
      </c>
      <c r="B144" s="1068"/>
      <c r="C144" s="1068"/>
      <c r="D144" s="1068"/>
      <c r="E144" s="1068"/>
      <c r="F144" s="1068"/>
      <c r="G144" s="1068"/>
    </row>
    <row r="145" spans="1:16" ht="12" customHeight="1">
      <c r="A145" s="1068"/>
      <c r="B145" s="1068"/>
      <c r="C145" s="1068"/>
      <c r="D145" s="1068"/>
      <c r="E145" s="1068"/>
      <c r="F145" s="1068"/>
      <c r="G145" s="1068"/>
    </row>
    <row r="146" spans="1:16">
      <c r="A146" s="1067" t="s">
        <v>1205</v>
      </c>
      <c r="B146" s="1067"/>
      <c r="C146" s="1067"/>
      <c r="D146" s="1067"/>
      <c r="E146" s="1067"/>
      <c r="F146" s="1067"/>
      <c r="G146" s="1067"/>
    </row>
    <row r="147" spans="1:16">
      <c r="A147" s="316" t="s">
        <v>1337</v>
      </c>
      <c r="B147" s="316"/>
      <c r="C147" s="316"/>
      <c r="D147" s="1059" t="s">
        <v>1332</v>
      </c>
      <c r="E147" s="1059"/>
      <c r="F147" s="1059"/>
      <c r="G147" s="1059"/>
    </row>
    <row r="148" spans="1:16" ht="15" customHeight="1">
      <c r="A148" s="1069" t="s">
        <v>1345</v>
      </c>
      <c r="B148" s="1069"/>
      <c r="C148" s="1069"/>
      <c r="D148" s="1069"/>
      <c r="E148" s="1069"/>
      <c r="F148" s="1069"/>
      <c r="G148" s="1069"/>
    </row>
    <row r="149" spans="1:16">
      <c r="A149" s="1069"/>
      <c r="B149" s="1069"/>
      <c r="C149" s="1069"/>
      <c r="D149" s="1069"/>
      <c r="E149" s="1069"/>
      <c r="F149" s="1069"/>
      <c r="G149" s="1069"/>
    </row>
    <row r="150" spans="1:16">
      <c r="A150" s="1069"/>
      <c r="B150" s="1069"/>
      <c r="C150" s="1069"/>
      <c r="D150" s="1069"/>
      <c r="E150" s="1069"/>
      <c r="F150" s="1069"/>
      <c r="G150" s="1069"/>
    </row>
    <row r="151" spans="1:16">
      <c r="A151" s="1069"/>
      <c r="B151" s="1069"/>
      <c r="C151" s="1069"/>
      <c r="D151" s="1069"/>
      <c r="E151" s="1069"/>
      <c r="F151" s="1069"/>
      <c r="G151" s="1069"/>
      <c r="J151" s="317"/>
      <c r="K151" s="317"/>
      <c r="L151" s="317"/>
      <c r="M151" s="317"/>
      <c r="N151" s="317"/>
      <c r="O151" s="317"/>
      <c r="P151" s="317"/>
    </row>
    <row r="152" spans="1:16">
      <c r="A152" s="1069"/>
      <c r="B152" s="1069"/>
      <c r="C152" s="1069"/>
      <c r="D152" s="1069"/>
      <c r="E152" s="1069"/>
      <c r="F152" s="1069"/>
      <c r="G152" s="1069"/>
    </row>
    <row r="153" spans="1:16" ht="15" customHeight="1">
      <c r="A153" s="316" t="s">
        <v>1236</v>
      </c>
      <c r="B153" s="316"/>
      <c r="C153" s="316"/>
      <c r="D153" s="368"/>
      <c r="E153" s="368"/>
      <c r="F153" s="368"/>
      <c r="G153" s="392" t="s">
        <v>1332</v>
      </c>
    </row>
    <row r="154" spans="1:16" ht="15" customHeight="1">
      <c r="A154" s="1058" t="s">
        <v>1042</v>
      </c>
      <c r="B154" s="1058"/>
      <c r="C154" s="1058"/>
      <c r="D154" s="1058"/>
      <c r="E154" s="1058"/>
      <c r="F154" s="1058"/>
      <c r="G154" s="1058"/>
    </row>
    <row r="155" spans="1:16" ht="15" customHeight="1">
      <c r="A155" s="1058"/>
      <c r="B155" s="1058"/>
      <c r="C155" s="1058"/>
      <c r="D155" s="1058"/>
      <c r="E155" s="1058"/>
      <c r="F155" s="1058"/>
      <c r="G155" s="1058"/>
    </row>
    <row r="156" spans="1:16">
      <c r="A156" s="1058"/>
      <c r="B156" s="1058"/>
      <c r="C156" s="1058"/>
      <c r="D156" s="1058"/>
      <c r="E156" s="1058"/>
      <c r="F156" s="1058"/>
      <c r="G156" s="1058"/>
      <c r="H156"/>
      <c r="I156"/>
    </row>
    <row r="157" spans="1:16" ht="15" customHeight="1">
      <c r="A157" s="1068" t="s">
        <v>1043</v>
      </c>
      <c r="B157" s="1068"/>
      <c r="C157" s="1068"/>
      <c r="D157" s="1068"/>
      <c r="E157" s="1068"/>
      <c r="F157" s="1068"/>
      <c r="G157" s="1068"/>
      <c r="H157"/>
      <c r="I157"/>
    </row>
    <row r="158" spans="1:16">
      <c r="A158" s="1068"/>
      <c r="B158" s="1068"/>
      <c r="C158" s="1068"/>
      <c r="D158" s="1068"/>
      <c r="E158" s="1068"/>
      <c r="F158" s="1068"/>
      <c r="G158" s="1068"/>
      <c r="H158"/>
      <c r="I158"/>
    </row>
    <row r="159" spans="1:16">
      <c r="A159" s="1067" t="s">
        <v>1334</v>
      </c>
      <c r="B159" s="1067"/>
      <c r="C159" s="1067"/>
      <c r="D159" s="1067"/>
      <c r="E159" s="1067"/>
      <c r="F159" s="1067"/>
      <c r="G159" s="1067"/>
      <c r="H159"/>
      <c r="I159"/>
    </row>
    <row r="160" spans="1:16" ht="21" customHeight="1">
      <c r="A160" s="334" t="s">
        <v>738</v>
      </c>
      <c r="H160"/>
      <c r="I160"/>
    </row>
    <row r="161" spans="1:14" ht="15" customHeight="1">
      <c r="A161" s="1061" t="s">
        <v>1171</v>
      </c>
      <c r="B161" s="1061"/>
      <c r="C161" s="1061"/>
      <c r="D161" s="1061"/>
      <c r="E161" s="1059" t="s">
        <v>1172</v>
      </c>
      <c r="F161" s="1059"/>
      <c r="G161" s="1059"/>
      <c r="H161"/>
      <c r="I161"/>
      <c r="J161"/>
    </row>
    <row r="162" spans="1:14" ht="15" customHeight="1">
      <c r="A162" s="327" t="s">
        <v>1206</v>
      </c>
      <c r="B162" s="396"/>
      <c r="C162" s="396"/>
      <c r="D162" s="396"/>
      <c r="E162" s="396"/>
      <c r="F162" s="396"/>
      <c r="G162" s="396"/>
      <c r="H162"/>
      <c r="I162"/>
      <c r="J162"/>
    </row>
    <row r="163" spans="1:14" ht="15" customHeight="1">
      <c r="A163" s="327" t="s">
        <v>1207</v>
      </c>
      <c r="B163" s="396"/>
      <c r="C163" s="396"/>
      <c r="D163" s="396"/>
      <c r="E163" s="396"/>
      <c r="F163" s="396"/>
      <c r="G163" s="396"/>
      <c r="H163"/>
      <c r="I163"/>
      <c r="J163"/>
    </row>
    <row r="164" spans="1:14" ht="15" customHeight="1">
      <c r="A164" s="1065" t="s">
        <v>1208</v>
      </c>
      <c r="B164" s="1065"/>
      <c r="C164" s="1065"/>
      <c r="D164" s="1065"/>
      <c r="E164" s="1065"/>
      <c r="F164" s="1065"/>
      <c r="G164" s="1065"/>
      <c r="H164"/>
      <c r="I164"/>
      <c r="J164"/>
    </row>
    <row r="165" spans="1:14" ht="15" customHeight="1">
      <c r="A165" s="1065"/>
      <c r="B165" s="1065"/>
      <c r="C165" s="1065"/>
      <c r="D165" s="1065"/>
      <c r="E165" s="1065"/>
      <c r="F165" s="1065"/>
      <c r="G165" s="1065"/>
      <c r="H165"/>
      <c r="I165"/>
      <c r="J165"/>
    </row>
    <row r="166" spans="1:14" ht="15" customHeight="1">
      <c r="A166" s="1065"/>
      <c r="B166" s="1065"/>
      <c r="C166" s="1065"/>
      <c r="D166" s="1065"/>
      <c r="E166" s="1065"/>
      <c r="F166" s="1065"/>
      <c r="G166" s="1065"/>
      <c r="H166"/>
      <c r="I166"/>
      <c r="J166"/>
    </row>
    <row r="167" spans="1:14" ht="15" customHeight="1">
      <c r="A167" s="1085" t="s">
        <v>1273</v>
      </c>
      <c r="B167" s="1070"/>
      <c r="C167" s="1070"/>
      <c r="D167" s="1070"/>
      <c r="E167" s="1070"/>
      <c r="F167" s="1070"/>
      <c r="G167" s="1070"/>
      <c r="H167"/>
      <c r="I167"/>
      <c r="J167"/>
    </row>
    <row r="168" spans="1:14" ht="15" customHeight="1">
      <c r="A168" s="1070"/>
      <c r="B168" s="1070"/>
      <c r="C168" s="1070"/>
      <c r="D168" s="1070"/>
      <c r="E168" s="1070"/>
      <c r="F168" s="1070"/>
      <c r="G168" s="1070"/>
      <c r="M168" s="379"/>
    </row>
    <row r="169" spans="1:14" ht="15" customHeight="1">
      <c r="A169" s="1070" t="s">
        <v>1209</v>
      </c>
      <c r="B169" s="1070"/>
      <c r="C169" s="1070"/>
      <c r="D169" s="1070"/>
      <c r="E169" s="1070"/>
      <c r="F169" s="1070"/>
      <c r="G169" s="1070"/>
      <c r="M169" s="378"/>
    </row>
    <row r="170" spans="1:14">
      <c r="A170" s="1070"/>
      <c r="B170" s="1070"/>
      <c r="C170" s="1070"/>
      <c r="D170" s="1070"/>
      <c r="E170" s="1070"/>
      <c r="F170" s="1070"/>
      <c r="G170" s="1070"/>
      <c r="M170" s="378"/>
    </row>
    <row r="171" spans="1:14">
      <c r="A171" s="1070"/>
      <c r="B171" s="1070"/>
      <c r="C171" s="1070"/>
      <c r="D171" s="1070"/>
      <c r="E171" s="1070"/>
      <c r="F171" s="1070"/>
      <c r="G171" s="1070"/>
      <c r="M171" s="378"/>
    </row>
    <row r="172" spans="1:14" ht="15" customHeight="1">
      <c r="A172" s="1070" t="s">
        <v>1170</v>
      </c>
      <c r="B172" s="1070"/>
      <c r="C172" s="1070"/>
      <c r="D172" s="1070"/>
      <c r="E172" s="1070"/>
      <c r="F172" s="1070"/>
      <c r="G172" s="1070"/>
      <c r="H172" s="9"/>
      <c r="I172" s="9"/>
      <c r="J172"/>
      <c r="K172"/>
      <c r="L172"/>
      <c r="M172"/>
      <c r="N172"/>
    </row>
    <row r="173" spans="1:14" ht="15" customHeight="1">
      <c r="A173" s="1070"/>
      <c r="B173" s="1070"/>
      <c r="C173" s="1070"/>
      <c r="D173" s="1070"/>
      <c r="E173" s="1070"/>
      <c r="F173" s="1070"/>
      <c r="G173" s="1070"/>
      <c r="H173" s="9"/>
      <c r="I173" s="9"/>
      <c r="J173"/>
      <c r="K173"/>
      <c r="L173"/>
      <c r="M173"/>
      <c r="N173"/>
    </row>
    <row r="174" spans="1:14" ht="15" customHeight="1" thickBot="1">
      <c r="A174" s="1070"/>
      <c r="B174" s="1070"/>
      <c r="C174" s="1070"/>
      <c r="D174" s="1070"/>
      <c r="E174" s="1070"/>
      <c r="F174" s="1070"/>
      <c r="G174" s="1070"/>
      <c r="H174" s="9"/>
      <c r="I174" s="9"/>
      <c r="J174"/>
      <c r="K174"/>
      <c r="L174"/>
      <c r="M174"/>
      <c r="N174"/>
    </row>
    <row r="175" spans="1:14">
      <c r="A175" s="384"/>
      <c r="B175" s="569" t="s">
        <v>1211</v>
      </c>
      <c r="C175" s="570"/>
      <c r="D175" s="570"/>
      <c r="E175" s="570"/>
      <c r="F175" s="571"/>
      <c r="G175" s="385"/>
      <c r="H175" s="9"/>
      <c r="I175" s="9"/>
      <c r="J175"/>
      <c r="K175"/>
      <c r="L175"/>
      <c r="M175"/>
      <c r="N175"/>
    </row>
    <row r="176" spans="1:14">
      <c r="A176" s="384"/>
      <c r="B176" s="1082" t="s">
        <v>1210</v>
      </c>
      <c r="C176" s="1083"/>
      <c r="D176" s="1083"/>
      <c r="E176" s="1083"/>
      <c r="F176" s="1084"/>
      <c r="G176" s="384"/>
      <c r="H176" s="9"/>
      <c r="I176" s="9"/>
      <c r="J176"/>
      <c r="K176"/>
      <c r="L176"/>
      <c r="M176"/>
      <c r="N176"/>
    </row>
    <row r="177" spans="1:14">
      <c r="A177" s="384"/>
      <c r="B177" s="1082" t="s">
        <v>1168</v>
      </c>
      <c r="C177" s="1083"/>
      <c r="D177" s="1083"/>
      <c r="E177" s="1083"/>
      <c r="F177" s="1084"/>
      <c r="G177" s="384"/>
      <c r="H177" s="9"/>
      <c r="I177" s="9"/>
      <c r="J177"/>
      <c r="K177"/>
      <c r="L177"/>
      <c r="M177"/>
      <c r="N177"/>
    </row>
    <row r="178" spans="1:14" ht="15.75" thickBot="1">
      <c r="A178" s="384"/>
      <c r="B178" s="1072" t="s">
        <v>1169</v>
      </c>
      <c r="C178" s="1073"/>
      <c r="D178" s="1073"/>
      <c r="E178" s="1073"/>
      <c r="F178" s="1074"/>
      <c r="G178" s="384"/>
      <c r="H178" s="9"/>
      <c r="I178" s="9"/>
      <c r="J178"/>
      <c r="K178"/>
      <c r="L178"/>
      <c r="M178"/>
      <c r="N178"/>
    </row>
    <row r="179" spans="1:14">
      <c r="A179" s="378"/>
      <c r="G179" s="378"/>
      <c r="H179" s="9"/>
      <c r="I179" s="9"/>
      <c r="J179"/>
      <c r="K179"/>
      <c r="L179"/>
      <c r="M179"/>
      <c r="N179"/>
    </row>
    <row r="180" spans="1:14" ht="15" customHeight="1">
      <c r="A180" s="1061" t="s">
        <v>1274</v>
      </c>
      <c r="B180" s="1061"/>
      <c r="C180" s="1061"/>
      <c r="D180" s="1061"/>
      <c r="E180" s="1059" t="s">
        <v>1174</v>
      </c>
      <c r="F180" s="1059"/>
      <c r="G180" s="1059"/>
      <c r="H180"/>
      <c r="I180"/>
    </row>
    <row r="181" spans="1:14" ht="15" customHeight="1">
      <c r="A181" s="1065" t="s">
        <v>1371</v>
      </c>
      <c r="B181" s="1065"/>
      <c r="C181" s="1065"/>
      <c r="D181" s="1065"/>
      <c r="E181" s="1065"/>
      <c r="F181" s="1065"/>
      <c r="G181" s="1065"/>
      <c r="H181"/>
      <c r="J181"/>
      <c r="K181"/>
      <c r="L181"/>
      <c r="M181"/>
      <c r="N181"/>
    </row>
    <row r="182" spans="1:14">
      <c r="A182" s="1065"/>
      <c r="B182" s="1065"/>
      <c r="C182" s="1065"/>
      <c r="D182" s="1065"/>
      <c r="E182" s="1065"/>
      <c r="F182" s="1065"/>
      <c r="G182" s="1065"/>
      <c r="H182"/>
      <c r="J182"/>
      <c r="K182"/>
      <c r="L182"/>
      <c r="M182"/>
      <c r="N182"/>
    </row>
    <row r="183" spans="1:14">
      <c r="A183" s="1065"/>
      <c r="B183" s="1065"/>
      <c r="C183" s="1065"/>
      <c r="D183" s="1065"/>
      <c r="E183" s="1065"/>
      <c r="F183" s="1065"/>
      <c r="G183" s="1065"/>
      <c r="H183"/>
      <c r="J183"/>
      <c r="K183"/>
      <c r="L183"/>
      <c r="M183"/>
      <c r="N183"/>
    </row>
    <row r="184" spans="1:14">
      <c r="A184" s="1065"/>
      <c r="B184" s="1065"/>
      <c r="C184" s="1065"/>
      <c r="D184" s="1065"/>
      <c r="E184" s="1065"/>
      <c r="F184" s="1065"/>
      <c r="G184" s="1065"/>
      <c r="H184"/>
      <c r="J184"/>
      <c r="K184"/>
      <c r="L184"/>
      <c r="M184"/>
      <c r="N184"/>
    </row>
    <row r="185" spans="1:14">
      <c r="A185" s="1065"/>
      <c r="B185" s="1065"/>
      <c r="C185" s="1065"/>
      <c r="D185" s="1065"/>
      <c r="E185" s="1065"/>
      <c r="F185" s="1065"/>
      <c r="G185" s="1065"/>
      <c r="H185"/>
      <c r="J185"/>
      <c r="K185"/>
      <c r="L185"/>
      <c r="M185"/>
      <c r="N185"/>
    </row>
    <row r="186" spans="1:14">
      <c r="A186" s="1065"/>
      <c r="B186" s="1065"/>
      <c r="C186" s="1065"/>
      <c r="D186" s="1065"/>
      <c r="E186" s="1065"/>
      <c r="F186" s="1065"/>
      <c r="G186" s="1065"/>
      <c r="H186"/>
      <c r="J186"/>
      <c r="K186"/>
      <c r="L186"/>
      <c r="M186"/>
      <c r="N186"/>
    </row>
    <row r="187" spans="1:14">
      <c r="A187" s="1065"/>
      <c r="B187" s="1065"/>
      <c r="C187" s="1065"/>
      <c r="D187" s="1065"/>
      <c r="E187" s="1065"/>
      <c r="F187" s="1065"/>
      <c r="G187" s="1065"/>
      <c r="H187"/>
      <c r="J187"/>
      <c r="K187"/>
      <c r="L187"/>
      <c r="M187"/>
      <c r="N187"/>
    </row>
    <row r="188" spans="1:14">
      <c r="A188" s="572" t="s">
        <v>1173</v>
      </c>
      <c r="B188" s="310"/>
      <c r="C188" s="310"/>
      <c r="D188" s="310"/>
      <c r="E188" s="310"/>
      <c r="F188" s="309"/>
      <c r="G188" s="309"/>
      <c r="H188"/>
      <c r="J188"/>
      <c r="K188"/>
      <c r="L188"/>
      <c r="M188"/>
      <c r="N188"/>
    </row>
    <row r="189" spans="1:14" ht="15" customHeight="1">
      <c r="A189" s="1061" t="s">
        <v>1197</v>
      </c>
      <c r="B189" s="1061"/>
      <c r="C189" s="1061"/>
      <c r="D189" s="1061"/>
      <c r="E189" s="1059" t="s">
        <v>1453</v>
      </c>
      <c r="F189" s="1059"/>
      <c r="G189" s="1059"/>
      <c r="H189"/>
      <c r="I189"/>
    </row>
    <row r="190" spans="1:14">
      <c r="A190" s="1058" t="s">
        <v>1050</v>
      </c>
      <c r="B190" s="1058"/>
      <c r="C190" s="1058"/>
      <c r="D190" s="1058"/>
      <c r="E190" s="1058"/>
      <c r="F190" s="1058"/>
      <c r="G190" s="1058"/>
      <c r="H190"/>
      <c r="I190" s="323"/>
    </row>
    <row r="191" spans="1:14">
      <c r="A191" s="1058"/>
      <c r="B191" s="1058"/>
      <c r="C191" s="1058"/>
      <c r="D191" s="1058"/>
      <c r="E191" s="1058"/>
      <c r="F191" s="1058"/>
      <c r="G191" s="1058"/>
      <c r="H191"/>
      <c r="I191" s="323"/>
    </row>
    <row r="192" spans="1:14">
      <c r="A192" s="1058"/>
      <c r="B192" s="1058"/>
      <c r="C192" s="1058"/>
      <c r="D192" s="1058"/>
      <c r="E192" s="1058"/>
      <c r="F192" s="1058"/>
      <c r="G192" s="1058"/>
      <c r="H192"/>
      <c r="I192" s="323"/>
    </row>
    <row r="193" spans="1:14">
      <c r="A193" s="1063" t="s">
        <v>1280</v>
      </c>
      <c r="B193" s="1063"/>
      <c r="C193" s="1063"/>
      <c r="D193" s="1063"/>
      <c r="E193" s="1063"/>
      <c r="F193" s="1063"/>
      <c r="G193" s="1063"/>
      <c r="H193"/>
      <c r="I193" s="323"/>
    </row>
    <row r="194" spans="1:14">
      <c r="A194" s="1067" t="s">
        <v>1474</v>
      </c>
      <c r="B194" s="1067"/>
      <c r="C194" s="1067"/>
      <c r="D194" s="1067"/>
      <c r="E194" s="1067"/>
      <c r="F194" s="1067"/>
      <c r="G194" s="1067"/>
      <c r="H194"/>
      <c r="I194"/>
    </row>
    <row r="195" spans="1:14">
      <c r="A195" s="316" t="s">
        <v>1166</v>
      </c>
      <c r="B195" s="316"/>
      <c r="C195" s="316"/>
      <c r="D195" s="1059" t="s">
        <v>1342</v>
      </c>
      <c r="E195" s="1059"/>
      <c r="F195" s="1059"/>
      <c r="G195" s="1059"/>
      <c r="H195"/>
      <c r="J195"/>
      <c r="K195"/>
      <c r="L195"/>
      <c r="M195"/>
      <c r="N195"/>
    </row>
    <row r="196" spans="1:14" ht="24" customHeight="1">
      <c r="A196" s="1063" t="s">
        <v>1281</v>
      </c>
      <c r="B196" s="1063"/>
      <c r="C196" s="1063"/>
      <c r="D196" s="1063"/>
      <c r="E196" s="1063"/>
      <c r="F196" s="1063"/>
      <c r="G196" s="1063"/>
      <c r="H196"/>
      <c r="J196"/>
      <c r="K196"/>
      <c r="L196"/>
      <c r="M196"/>
      <c r="N196"/>
    </row>
    <row r="197" spans="1:14">
      <c r="A197" s="1058" t="s">
        <v>1167</v>
      </c>
      <c r="B197" s="1058"/>
      <c r="C197" s="1058"/>
      <c r="D197" s="1058"/>
      <c r="E197" s="1058"/>
      <c r="F197" s="1058"/>
      <c r="G197" s="1058"/>
      <c r="H197"/>
      <c r="I197" s="79"/>
      <c r="J197"/>
      <c r="K197"/>
      <c r="L197"/>
      <c r="M197"/>
      <c r="N197"/>
    </row>
    <row r="198" spans="1:14">
      <c r="A198" s="1058"/>
      <c r="B198" s="1058"/>
      <c r="C198" s="1058"/>
      <c r="D198" s="1058"/>
      <c r="E198" s="1058"/>
      <c r="F198" s="1058"/>
      <c r="G198" s="1058"/>
      <c r="H198"/>
      <c r="I198" s="79"/>
      <c r="J198"/>
      <c r="K198"/>
      <c r="L198"/>
      <c r="M198"/>
      <c r="N198"/>
    </row>
    <row r="199" spans="1:14">
      <c r="A199" s="1058"/>
      <c r="B199" s="1058"/>
      <c r="C199" s="1058"/>
      <c r="D199" s="1058"/>
      <c r="E199" s="1058"/>
      <c r="F199" s="1058"/>
      <c r="G199" s="1058"/>
      <c r="H199"/>
      <c r="I199" s="79"/>
      <c r="J199"/>
      <c r="K199"/>
      <c r="L199"/>
      <c r="M199"/>
      <c r="N199"/>
    </row>
    <row r="200" spans="1:14">
      <c r="A200" s="1058"/>
      <c r="B200" s="1058"/>
      <c r="C200" s="1058"/>
      <c r="D200" s="1058"/>
      <c r="E200" s="1058"/>
      <c r="F200" s="1058"/>
      <c r="G200" s="1058"/>
      <c r="H200"/>
    </row>
    <row r="201" spans="1:14">
      <c r="A201" s="316" t="s">
        <v>332</v>
      </c>
      <c r="B201" s="316"/>
      <c r="C201" s="316"/>
      <c r="D201" s="368"/>
      <c r="E201" s="368"/>
      <c r="F201" s="368"/>
      <c r="G201" s="658" t="s">
        <v>1353</v>
      </c>
      <c r="H201"/>
      <c r="I201" s="79"/>
      <c r="J201"/>
      <c r="K201"/>
      <c r="L201"/>
      <c r="M201"/>
      <c r="N201"/>
    </row>
    <row r="202" spans="1:14">
      <c r="A202" s="1063" t="s">
        <v>1356</v>
      </c>
      <c r="B202" s="1063"/>
      <c r="C202" s="1063"/>
      <c r="D202" s="1063"/>
      <c r="E202" s="1063"/>
      <c r="F202" s="1063"/>
      <c r="G202" s="1063"/>
      <c r="H202"/>
      <c r="I202" s="79"/>
      <c r="J202"/>
      <c r="K202"/>
      <c r="L202"/>
      <c r="M202"/>
      <c r="N202"/>
    </row>
    <row r="203" spans="1:14">
      <c r="A203" s="1063"/>
      <c r="B203" s="1063"/>
      <c r="C203" s="1063"/>
      <c r="D203" s="1063"/>
      <c r="E203" s="1063"/>
      <c r="F203" s="1063"/>
      <c r="G203" s="1063"/>
      <c r="H203"/>
      <c r="J203"/>
      <c r="K203"/>
      <c r="L203"/>
      <c r="M203"/>
      <c r="N203"/>
    </row>
    <row r="204" spans="1:14">
      <c r="A204" s="334" t="s">
        <v>810</v>
      </c>
      <c r="B204" s="310"/>
      <c r="C204" s="310"/>
      <c r="D204" s="310"/>
      <c r="E204" s="310"/>
      <c r="F204" s="310"/>
      <c r="G204" s="310"/>
      <c r="H204"/>
      <c r="J204"/>
      <c r="K204"/>
      <c r="L204"/>
      <c r="M204"/>
      <c r="N204"/>
    </row>
    <row r="205" spans="1:14">
      <c r="A205" s="1071" t="s">
        <v>1161</v>
      </c>
      <c r="B205" s="1071"/>
      <c r="C205" s="1071"/>
      <c r="D205" s="1059" t="s">
        <v>1454</v>
      </c>
      <c r="E205" s="1059"/>
      <c r="F205" s="1059"/>
      <c r="G205" s="1059"/>
      <c r="H205"/>
      <c r="J205"/>
      <c r="K205"/>
      <c r="L205"/>
      <c r="M205"/>
      <c r="N205"/>
    </row>
    <row r="206" spans="1:14">
      <c r="A206" s="1062" t="s">
        <v>1154</v>
      </c>
      <c r="B206" s="1062"/>
      <c r="C206" s="1062"/>
      <c r="D206" s="1062"/>
      <c r="E206" s="1062"/>
      <c r="F206" s="1062"/>
      <c r="G206" s="1062"/>
      <c r="H206"/>
      <c r="J206"/>
      <c r="K206"/>
      <c r="L206"/>
      <c r="M206"/>
      <c r="N206"/>
    </row>
    <row r="207" spans="1:14" ht="27" customHeight="1">
      <c r="A207" s="1062"/>
      <c r="B207" s="1062"/>
      <c r="C207" s="1062"/>
      <c r="D207" s="1062"/>
      <c r="E207" s="1062"/>
      <c r="F207" s="1062"/>
      <c r="G207" s="1062"/>
      <c r="H207"/>
      <c r="I207" s="124"/>
      <c r="J207"/>
      <c r="K207"/>
      <c r="L207"/>
      <c r="M207"/>
      <c r="N207"/>
    </row>
    <row r="208" spans="1:14">
      <c r="A208" s="372" t="s">
        <v>1155</v>
      </c>
      <c r="B208" s="310"/>
      <c r="C208" s="310"/>
      <c r="D208" s="310"/>
      <c r="E208" s="310"/>
      <c r="F208" s="310"/>
      <c r="G208" s="310"/>
      <c r="H208"/>
      <c r="I208" s="374"/>
      <c r="J208"/>
      <c r="K208"/>
      <c r="L208"/>
      <c r="M208"/>
      <c r="N208"/>
    </row>
    <row r="209" spans="1:15">
      <c r="A209" s="372" t="s">
        <v>1156</v>
      </c>
      <c r="B209" s="310"/>
      <c r="C209" s="310"/>
      <c r="D209" s="310"/>
      <c r="E209" s="310"/>
      <c r="F209" s="310"/>
      <c r="G209" s="310"/>
      <c r="H209"/>
      <c r="I209" s="375"/>
      <c r="J209"/>
      <c r="K209"/>
      <c r="L209"/>
      <c r="M209"/>
      <c r="N209"/>
    </row>
    <row r="210" spans="1:15">
      <c r="A210" s="373" t="s">
        <v>1276</v>
      </c>
      <c r="B210" s="310"/>
      <c r="C210" s="310"/>
      <c r="D210" s="310"/>
      <c r="E210" s="310"/>
      <c r="F210" s="310"/>
      <c r="G210" s="310"/>
      <c r="H210"/>
      <c r="I210" s="124"/>
      <c r="J210"/>
      <c r="K210"/>
      <c r="L210"/>
      <c r="M210"/>
      <c r="N210"/>
    </row>
    <row r="211" spans="1:15">
      <c r="A211" s="373" t="s">
        <v>1275</v>
      </c>
      <c r="B211" s="310"/>
      <c r="C211" s="310"/>
      <c r="D211" s="310"/>
      <c r="E211" s="310"/>
      <c r="F211" s="310"/>
      <c r="G211" s="310"/>
      <c r="H211"/>
      <c r="I211" s="124"/>
      <c r="J211"/>
      <c r="K211"/>
      <c r="L211"/>
      <c r="M211"/>
      <c r="N211"/>
    </row>
    <row r="212" spans="1:15">
      <c r="A212" s="372" t="s">
        <v>1157</v>
      </c>
      <c r="B212" s="310"/>
      <c r="C212" s="310"/>
      <c r="D212" s="310"/>
      <c r="E212" s="310"/>
      <c r="F212" s="310"/>
      <c r="G212" s="310"/>
      <c r="H212"/>
      <c r="I212" s="374"/>
      <c r="J212"/>
      <c r="K212"/>
      <c r="L212"/>
      <c r="M212"/>
      <c r="N212"/>
    </row>
    <row r="213" spans="1:15">
      <c r="A213" s="1071" t="s">
        <v>1162</v>
      </c>
      <c r="B213" s="1071"/>
      <c r="C213" s="1071"/>
      <c r="D213" s="1059"/>
      <c r="E213" s="1059"/>
      <c r="F213" s="1059"/>
      <c r="G213" s="1059"/>
      <c r="H213"/>
      <c r="I213" s="374"/>
      <c r="J213"/>
      <c r="K213"/>
      <c r="L213"/>
      <c r="M213"/>
      <c r="N213"/>
    </row>
    <row r="214" spans="1:15">
      <c r="A214" s="418" t="s">
        <v>275</v>
      </c>
      <c r="B214" s="310"/>
      <c r="C214" s="310"/>
      <c r="D214" s="310"/>
      <c r="E214" s="310"/>
      <c r="F214" s="310"/>
      <c r="G214" s="310"/>
      <c r="H214"/>
      <c r="I214" s="374"/>
      <c r="J214"/>
      <c r="K214"/>
      <c r="L214"/>
      <c r="M214"/>
      <c r="N214"/>
    </row>
    <row r="215" spans="1:15">
      <c r="A215" s="573" t="s">
        <v>1163</v>
      </c>
      <c r="B215" s="310"/>
      <c r="C215" s="310"/>
      <c r="D215" s="310"/>
      <c r="E215" s="310"/>
      <c r="F215" s="310"/>
      <c r="G215" s="310"/>
      <c r="H215"/>
      <c r="I215" s="374"/>
      <c r="J215"/>
      <c r="K215"/>
      <c r="L215"/>
      <c r="M215"/>
      <c r="N215"/>
    </row>
    <row r="216" spans="1:15" ht="15" customHeight="1">
      <c r="A216" s="573"/>
      <c r="B216" s="574" t="s">
        <v>1212</v>
      </c>
      <c r="C216" s="310"/>
      <c r="D216" s="310"/>
      <c r="E216" s="310"/>
      <c r="F216" s="310"/>
      <c r="G216" s="310"/>
      <c r="H216"/>
      <c r="I216" s="124"/>
      <c r="J216"/>
      <c r="K216"/>
      <c r="L216"/>
      <c r="M216"/>
      <c r="N216"/>
    </row>
    <row r="217" spans="1:15" ht="15" customHeight="1">
      <c r="A217" s="573"/>
      <c r="B217" s="575" t="s">
        <v>1158</v>
      </c>
      <c r="C217" s="310"/>
      <c r="D217" s="310"/>
      <c r="E217" s="310"/>
      <c r="F217" s="310"/>
      <c r="G217" s="310"/>
      <c r="H217"/>
      <c r="I217" s="124"/>
      <c r="J217"/>
      <c r="K217"/>
      <c r="L217"/>
      <c r="M217"/>
      <c r="N217"/>
    </row>
    <row r="218" spans="1:15">
      <c r="A218" s="573"/>
      <c r="B218" s="574" t="s">
        <v>414</v>
      </c>
      <c r="C218" s="310"/>
      <c r="D218" s="310"/>
      <c r="E218" s="310"/>
      <c r="F218" s="310"/>
      <c r="G218" s="310"/>
      <c r="H218"/>
      <c r="J218"/>
      <c r="K218"/>
      <c r="L218"/>
      <c r="M218"/>
      <c r="N218"/>
    </row>
    <row r="219" spans="1:15">
      <c r="A219" s="573"/>
      <c r="B219" s="574" t="s">
        <v>1159</v>
      </c>
      <c r="C219" s="310"/>
      <c r="D219" s="310"/>
      <c r="E219" s="310"/>
      <c r="F219" s="310"/>
      <c r="G219" s="310"/>
      <c r="H219"/>
      <c r="J219"/>
      <c r="K219"/>
      <c r="L219"/>
      <c r="M219"/>
      <c r="N219"/>
    </row>
    <row r="220" spans="1:15" ht="15" customHeight="1">
      <c r="A220" s="573"/>
      <c r="B220" s="574" t="s">
        <v>416</v>
      </c>
      <c r="C220" s="310"/>
      <c r="D220" s="310"/>
      <c r="E220" s="310"/>
      <c r="F220" s="310"/>
      <c r="G220" s="310"/>
      <c r="H220"/>
      <c r="J220" s="298"/>
      <c r="K220" s="298"/>
      <c r="L220" s="298"/>
      <c r="M220" s="298"/>
      <c r="N220" s="298"/>
    </row>
    <row r="221" spans="1:15">
      <c r="A221" s="573"/>
      <c r="B221" s="574" t="s">
        <v>417</v>
      </c>
      <c r="C221" s="310"/>
      <c r="D221" s="310"/>
      <c r="E221" s="310"/>
      <c r="F221" s="310"/>
      <c r="G221" s="310"/>
      <c r="H221"/>
      <c r="J221" s="298"/>
      <c r="K221" s="298"/>
      <c r="L221" s="298"/>
      <c r="M221" s="298"/>
      <c r="N221" s="298"/>
    </row>
    <row r="222" spans="1:15" ht="15" customHeight="1">
      <c r="A222" s="573" t="s">
        <v>277</v>
      </c>
      <c r="B222" s="310"/>
      <c r="C222" s="310"/>
      <c r="D222" s="310"/>
      <c r="E222" s="310"/>
      <c r="F222" s="310"/>
      <c r="G222" s="310"/>
      <c r="H222"/>
      <c r="J222"/>
      <c r="K222"/>
      <c r="L222"/>
      <c r="M222"/>
      <c r="N222"/>
    </row>
    <row r="223" spans="1:15">
      <c r="A223" s="573" t="s">
        <v>811</v>
      </c>
      <c r="B223" s="310"/>
      <c r="C223" s="310"/>
      <c r="D223" s="310"/>
      <c r="E223" s="310"/>
      <c r="F223" s="310"/>
      <c r="G223" s="310"/>
      <c r="H223"/>
      <c r="J223" s="318"/>
      <c r="K223" s="318"/>
      <c r="L223" s="318"/>
      <c r="M223" s="318"/>
      <c r="N223" s="318"/>
      <c r="O223" s="319"/>
    </row>
    <row r="224" spans="1:15">
      <c r="A224" s="573" t="s">
        <v>279</v>
      </c>
      <c r="B224" s="310"/>
      <c r="C224" s="310"/>
      <c r="D224" s="310"/>
      <c r="E224" s="310"/>
      <c r="F224" s="310"/>
      <c r="G224" s="310"/>
      <c r="H224"/>
      <c r="J224" s="318"/>
      <c r="K224" s="318"/>
      <c r="L224" s="318"/>
      <c r="M224" s="318"/>
      <c r="N224" s="318"/>
      <c r="O224" s="319"/>
    </row>
    <row r="225" spans="1:15" ht="17.25" customHeight="1">
      <c r="A225" s="573" t="s">
        <v>280</v>
      </c>
      <c r="B225" s="310"/>
      <c r="C225" s="310"/>
      <c r="D225" s="310"/>
      <c r="E225" s="310"/>
      <c r="F225" s="310"/>
      <c r="G225" s="310"/>
      <c r="H225"/>
      <c r="I225" s="1076"/>
      <c r="J225" s="1076"/>
      <c r="K225" s="1076"/>
      <c r="L225" s="1076"/>
      <c r="M225" s="1076"/>
      <c r="N225" s="1076"/>
      <c r="O225" s="1076"/>
    </row>
    <row r="226" spans="1:15" ht="15" customHeight="1">
      <c r="A226" s="573" t="s">
        <v>281</v>
      </c>
      <c r="B226" s="310"/>
      <c r="C226" s="310"/>
      <c r="D226" s="310"/>
      <c r="E226" s="310"/>
      <c r="F226" s="310"/>
      <c r="G226" s="310"/>
      <c r="H226"/>
      <c r="I226" s="1075"/>
      <c r="J226" s="1075"/>
      <c r="K226" s="1075"/>
      <c r="L226" s="1075"/>
      <c r="M226" s="1075"/>
      <c r="N226" s="1075"/>
      <c r="O226" s="1075"/>
    </row>
    <row r="227" spans="1:15" ht="15" customHeight="1">
      <c r="A227" s="573" t="s">
        <v>282</v>
      </c>
      <c r="B227" s="310"/>
      <c r="C227" s="310"/>
      <c r="D227" s="310"/>
      <c r="E227" s="310"/>
      <c r="F227" s="310"/>
      <c r="G227" s="310"/>
      <c r="H227"/>
      <c r="I227" s="1075"/>
      <c r="J227" s="1075"/>
      <c r="K227" s="1075"/>
      <c r="L227" s="1075"/>
      <c r="M227" s="1075"/>
      <c r="N227" s="1075"/>
      <c r="O227" s="1075"/>
    </row>
    <row r="228" spans="1:15">
      <c r="A228" s="573" t="s">
        <v>283</v>
      </c>
      <c r="B228" s="310"/>
      <c r="C228" s="310"/>
      <c r="D228" s="310"/>
      <c r="E228" s="310"/>
      <c r="F228" s="310"/>
      <c r="G228" s="310"/>
      <c r="H228"/>
      <c r="I228" s="1075"/>
      <c r="J228" s="1075"/>
      <c r="K228" s="1075"/>
      <c r="L228" s="1075"/>
      <c r="M228" s="1075"/>
      <c r="N228" s="1075"/>
      <c r="O228" s="1075"/>
    </row>
    <row r="229" spans="1:15">
      <c r="A229" s="573" t="s">
        <v>284</v>
      </c>
      <c r="B229" s="310"/>
      <c r="C229" s="310"/>
      <c r="D229" s="310"/>
      <c r="E229" s="310"/>
      <c r="F229" s="310"/>
      <c r="G229" s="310"/>
      <c r="H229"/>
      <c r="I229" s="1075"/>
      <c r="J229" s="1075"/>
      <c r="K229" s="1075"/>
      <c r="L229" s="1075"/>
      <c r="M229" s="1075"/>
      <c r="N229" s="1075"/>
      <c r="O229" s="1075"/>
    </row>
    <row r="230" spans="1:15" ht="15" customHeight="1">
      <c r="A230" s="573" t="s">
        <v>285</v>
      </c>
      <c r="B230" s="310"/>
      <c r="C230" s="310"/>
      <c r="D230" s="310"/>
      <c r="E230" s="310"/>
      <c r="F230" s="310"/>
      <c r="G230" s="310"/>
      <c r="H230"/>
      <c r="I230" s="1075"/>
      <c r="J230" s="1075"/>
      <c r="K230" s="1075"/>
      <c r="L230" s="1075"/>
      <c r="M230" s="1075"/>
      <c r="N230" s="1075"/>
      <c r="O230" s="1075"/>
    </row>
    <row r="231" spans="1:15">
      <c r="A231" s="573" t="s">
        <v>286</v>
      </c>
      <c r="B231" s="310"/>
      <c r="C231" s="310"/>
      <c r="D231" s="310"/>
      <c r="E231" s="310"/>
      <c r="F231" s="310"/>
      <c r="G231" s="310"/>
    </row>
    <row r="232" spans="1:15" ht="15" customHeight="1">
      <c r="A232" s="1061" t="s">
        <v>979</v>
      </c>
      <c r="B232" s="1061"/>
      <c r="C232" s="1061"/>
      <c r="D232" s="1059" t="s">
        <v>1454</v>
      </c>
      <c r="E232" s="1059"/>
      <c r="F232" s="1059"/>
      <c r="G232" s="1059"/>
    </row>
    <row r="233" spans="1:15" ht="15" customHeight="1">
      <c r="A233" s="1058" t="s">
        <v>1070</v>
      </c>
      <c r="B233" s="1058"/>
      <c r="C233" s="1058"/>
      <c r="D233" s="1058"/>
      <c r="E233" s="1058"/>
      <c r="F233" s="1058"/>
      <c r="G233" s="1058"/>
    </row>
    <row r="234" spans="1:15">
      <c r="A234" s="1058"/>
      <c r="B234" s="1058"/>
      <c r="C234" s="1058"/>
      <c r="D234" s="1058"/>
      <c r="E234" s="1058"/>
      <c r="F234" s="1058"/>
      <c r="G234" s="1058"/>
    </row>
    <row r="235" spans="1:15">
      <c r="A235" s="1063" t="s">
        <v>1062</v>
      </c>
      <c r="B235" s="1063"/>
      <c r="C235" s="1063"/>
      <c r="D235" s="1063"/>
      <c r="E235" s="1063"/>
      <c r="F235" s="1063"/>
      <c r="G235" s="1063"/>
    </row>
    <row r="236" spans="1:15">
      <c r="A236" s="1063"/>
      <c r="B236" s="1063"/>
      <c r="C236" s="1063"/>
      <c r="D236" s="1063"/>
      <c r="E236" s="1063"/>
      <c r="F236" s="1063"/>
      <c r="G236" s="1063"/>
    </row>
    <row r="237" spans="1:15" ht="15" customHeight="1">
      <c r="A237" s="1058" t="s">
        <v>1063</v>
      </c>
      <c r="B237" s="1058"/>
      <c r="C237" s="1058"/>
      <c r="D237" s="1058"/>
      <c r="E237" s="1058"/>
      <c r="F237" s="1058"/>
      <c r="G237" s="1058"/>
    </row>
    <row r="238" spans="1:15">
      <c r="A238" s="1058"/>
      <c r="B238" s="1058"/>
      <c r="C238" s="1058"/>
      <c r="D238" s="1058"/>
      <c r="E238" s="1058"/>
      <c r="F238" s="1058"/>
      <c r="G238" s="1058"/>
    </row>
    <row r="239" spans="1:15" ht="15" customHeight="1">
      <c r="A239" s="1058" t="s">
        <v>1071</v>
      </c>
      <c r="B239" s="1058"/>
      <c r="C239" s="1058"/>
      <c r="D239" s="1058"/>
      <c r="E239" s="1058"/>
      <c r="F239" s="1058"/>
      <c r="G239" s="1058"/>
    </row>
    <row r="240" spans="1:15" ht="15" customHeight="1">
      <c r="A240" s="1058"/>
      <c r="B240" s="1058"/>
      <c r="C240" s="1058"/>
      <c r="D240" s="1058"/>
      <c r="E240" s="1058"/>
      <c r="F240" s="1058"/>
      <c r="G240" s="1058"/>
    </row>
    <row r="241" spans="1:15">
      <c r="A241" s="389"/>
      <c r="B241" s="389"/>
      <c r="C241" s="389"/>
      <c r="D241" s="389"/>
      <c r="E241" s="389"/>
      <c r="F241" s="389"/>
      <c r="G241" s="389"/>
    </row>
    <row r="242" spans="1:15">
      <c r="A242" s="334" t="s">
        <v>1094</v>
      </c>
      <c r="B242" s="310"/>
      <c r="C242" s="310"/>
      <c r="D242" s="310"/>
      <c r="E242" s="310"/>
      <c r="F242" s="310"/>
      <c r="G242" s="310"/>
    </row>
    <row r="243" spans="1:15">
      <c r="A243" s="1061" t="s">
        <v>1176</v>
      </c>
      <c r="B243" s="1061"/>
      <c r="C243" s="1061"/>
      <c r="D243" s="1059" t="s">
        <v>1455</v>
      </c>
      <c r="E243" s="1059"/>
      <c r="F243" s="1059"/>
      <c r="G243" s="1059"/>
    </row>
    <row r="244" spans="1:15">
      <c r="A244" s="1063" t="s">
        <v>1047</v>
      </c>
      <c r="B244" s="1063"/>
      <c r="C244" s="1063"/>
      <c r="D244" s="1063"/>
      <c r="E244" s="1063"/>
      <c r="F244" s="1063"/>
      <c r="G244" s="1063"/>
    </row>
    <row r="245" spans="1:15" ht="11.25" customHeight="1">
      <c r="A245" s="1063"/>
      <c r="B245" s="1063"/>
      <c r="C245" s="1063"/>
      <c r="D245" s="1063"/>
      <c r="E245" s="1063"/>
      <c r="F245" s="1063"/>
      <c r="G245" s="1063"/>
    </row>
    <row r="246" spans="1:15">
      <c r="A246" s="1061" t="s">
        <v>181</v>
      </c>
      <c r="B246" s="1061"/>
      <c r="C246" s="1061"/>
      <c r="D246" s="1059" t="s">
        <v>1455</v>
      </c>
      <c r="E246" s="1059"/>
      <c r="F246" s="1059"/>
      <c r="G246" s="1059"/>
    </row>
    <row r="247" spans="1:15">
      <c r="A247" s="365" t="s">
        <v>1185</v>
      </c>
      <c r="B247" s="390"/>
      <c r="C247" s="390"/>
      <c r="D247" s="390"/>
      <c r="E247" s="390"/>
      <c r="F247" s="390"/>
      <c r="G247" s="390"/>
    </row>
    <row r="248" spans="1:15" s="366" customFormat="1">
      <c r="A248" s="391" t="s">
        <v>1048</v>
      </c>
      <c r="B248" s="391"/>
      <c r="C248" s="391"/>
      <c r="D248" s="368"/>
      <c r="E248" s="368"/>
      <c r="F248" s="368"/>
      <c r="G248" s="392" t="s">
        <v>1456</v>
      </c>
    </row>
    <row r="249" spans="1:15">
      <c r="A249" s="329" t="s">
        <v>1475</v>
      </c>
      <c r="B249" s="329"/>
      <c r="C249" s="329"/>
      <c r="D249" s="329"/>
      <c r="E249" s="329"/>
      <c r="F249" s="329"/>
      <c r="G249" s="329"/>
    </row>
    <row r="250" spans="1:15">
      <c r="A250" s="1061" t="s">
        <v>1178</v>
      </c>
      <c r="B250" s="1061"/>
      <c r="C250" s="1061"/>
      <c r="D250" s="368"/>
      <c r="E250" s="368"/>
      <c r="F250" s="368"/>
      <c r="G250" s="392" t="s">
        <v>1466</v>
      </c>
    </row>
    <row r="251" spans="1:15">
      <c r="A251" s="329" t="s">
        <v>1095</v>
      </c>
      <c r="B251" s="318"/>
      <c r="C251" s="318"/>
      <c r="D251" s="318"/>
      <c r="E251" s="318"/>
      <c r="F251" s="318"/>
      <c r="G251" s="318"/>
    </row>
    <row r="252" spans="1:15">
      <c r="A252" s="1061" t="s">
        <v>1476</v>
      </c>
      <c r="B252" s="1061"/>
      <c r="C252" s="1061"/>
      <c r="D252" s="1059" t="s">
        <v>1457</v>
      </c>
      <c r="E252" s="1059"/>
      <c r="F252" s="1059"/>
      <c r="G252" s="1059"/>
    </row>
    <row r="253" spans="1:15" s="336" customFormat="1">
      <c r="A253" s="1063" t="s">
        <v>1069</v>
      </c>
      <c r="B253" s="1063"/>
      <c r="C253" s="1063"/>
      <c r="D253" s="1063"/>
      <c r="E253" s="1063"/>
      <c r="F253" s="1063"/>
      <c r="G253" s="1063"/>
    </row>
    <row r="254" spans="1:15">
      <c r="A254" s="1061" t="s">
        <v>1477</v>
      </c>
      <c r="B254" s="1061"/>
      <c r="C254" s="1061"/>
      <c r="D254" s="1059" t="s">
        <v>1470</v>
      </c>
      <c r="E254" s="1059"/>
      <c r="F254" s="1059"/>
      <c r="G254" s="1059"/>
      <c r="I254" s="369"/>
      <c r="J254" s="369"/>
      <c r="K254" s="369"/>
      <c r="L254" s="369"/>
      <c r="M254" s="369"/>
      <c r="N254" s="369"/>
      <c r="O254" s="369"/>
    </row>
    <row r="255" spans="1:15">
      <c r="A255" s="1063" t="s">
        <v>1415</v>
      </c>
      <c r="B255" s="1063"/>
      <c r="C255" s="1063"/>
      <c r="D255" s="1063"/>
      <c r="E255" s="1063"/>
      <c r="F255" s="1063"/>
      <c r="G255" s="1063"/>
      <c r="I255" s="369"/>
      <c r="J255" s="369"/>
      <c r="K255" s="369"/>
      <c r="L255" s="369"/>
      <c r="M255" s="369"/>
      <c r="N255" s="369"/>
      <c r="O255" s="369"/>
    </row>
    <row r="256" spans="1:15">
      <c r="A256" s="1061" t="s">
        <v>1213</v>
      </c>
      <c r="B256" s="1061"/>
      <c r="C256" s="1061"/>
      <c r="D256" s="1061"/>
      <c r="E256" s="1059" t="s">
        <v>1330</v>
      </c>
      <c r="F256" s="1059"/>
      <c r="G256" s="1059"/>
      <c r="I256" s="369"/>
      <c r="J256" s="369"/>
      <c r="K256" s="369"/>
      <c r="L256" s="369"/>
      <c r="M256" s="369"/>
      <c r="N256" s="369"/>
      <c r="O256" s="369"/>
    </row>
    <row r="257" spans="1:15">
      <c r="A257" s="1060" t="s">
        <v>1372</v>
      </c>
      <c r="B257" s="1060"/>
      <c r="C257" s="1060"/>
      <c r="D257" s="1060"/>
      <c r="E257" s="1060"/>
      <c r="F257" s="1060"/>
      <c r="G257" s="1060"/>
      <c r="I257" s="369"/>
      <c r="J257" s="369"/>
      <c r="K257" s="369"/>
      <c r="L257" s="369"/>
      <c r="M257" s="369"/>
      <c r="N257" s="369"/>
      <c r="O257" s="369"/>
    </row>
    <row r="258" spans="1:15">
      <c r="A258" s="1060"/>
      <c r="B258" s="1060"/>
      <c r="C258" s="1060"/>
      <c r="D258" s="1060"/>
      <c r="E258" s="1060"/>
      <c r="F258" s="1060"/>
      <c r="G258" s="1060"/>
      <c r="I258" s="369"/>
      <c r="J258" s="369"/>
      <c r="K258" s="369"/>
      <c r="L258" s="369"/>
      <c r="M258" s="369"/>
      <c r="N258" s="369"/>
      <c r="O258" s="369"/>
    </row>
    <row r="259" spans="1:15">
      <c r="A259" s="1060"/>
      <c r="B259" s="1060"/>
      <c r="C259" s="1060"/>
      <c r="D259" s="1060"/>
      <c r="E259" s="1060"/>
      <c r="F259" s="1060"/>
      <c r="G259" s="1060"/>
      <c r="I259" s="369"/>
      <c r="J259" s="369"/>
      <c r="K259" s="369"/>
      <c r="L259" s="369"/>
      <c r="M259" s="369"/>
      <c r="N259" s="369"/>
      <c r="O259" s="369"/>
    </row>
    <row r="260" spans="1:15">
      <c r="A260" s="1060"/>
      <c r="B260" s="1060"/>
      <c r="C260" s="1060"/>
      <c r="D260" s="1060"/>
      <c r="E260" s="1060"/>
      <c r="F260" s="1060"/>
      <c r="G260" s="1060"/>
      <c r="I260" s="369"/>
      <c r="J260" s="369"/>
      <c r="K260" s="369"/>
      <c r="L260" s="369"/>
      <c r="M260" s="369"/>
      <c r="N260" s="369"/>
      <c r="O260" s="369"/>
    </row>
    <row r="261" spans="1:15">
      <c r="A261" s="1061" t="s">
        <v>181</v>
      </c>
      <c r="B261" s="1061"/>
      <c r="C261" s="1061"/>
      <c r="D261" s="1059" t="s">
        <v>1330</v>
      </c>
      <c r="E261" s="1059"/>
      <c r="F261" s="1059"/>
      <c r="G261" s="1059"/>
      <c r="I261" s="369"/>
      <c r="J261" s="369"/>
      <c r="K261" s="369"/>
      <c r="L261" s="369"/>
      <c r="M261" s="369"/>
      <c r="N261" s="369"/>
      <c r="O261" s="369"/>
    </row>
    <row r="262" spans="1:15" ht="15" customHeight="1">
      <c r="A262" s="329" t="s">
        <v>1357</v>
      </c>
      <c r="B262" s="659"/>
      <c r="C262" s="659"/>
      <c r="D262" s="659"/>
      <c r="E262" s="659"/>
      <c r="F262" s="659"/>
      <c r="G262" s="659"/>
      <c r="I262" s="369"/>
      <c r="J262" s="369"/>
      <c r="K262" s="369"/>
      <c r="L262" s="369"/>
      <c r="M262" s="369"/>
      <c r="N262" s="369"/>
      <c r="O262" s="369"/>
    </row>
    <row r="263" spans="1:15">
      <c r="A263" s="1061" t="s">
        <v>1214</v>
      </c>
      <c r="B263" s="1061"/>
      <c r="C263" s="1061"/>
      <c r="D263" s="1061"/>
      <c r="E263" s="1059" t="s">
        <v>1330</v>
      </c>
      <c r="F263" s="1059"/>
      <c r="G263" s="1059"/>
      <c r="I263" s="369"/>
      <c r="J263" s="369"/>
      <c r="K263" s="369"/>
      <c r="L263" s="369"/>
      <c r="M263" s="369"/>
      <c r="N263" s="369"/>
      <c r="O263" s="369"/>
    </row>
    <row r="264" spans="1:15" ht="15" customHeight="1">
      <c r="A264" s="1060" t="s">
        <v>1229</v>
      </c>
      <c r="B264" s="1060"/>
      <c r="C264" s="1060"/>
      <c r="D264" s="1060"/>
      <c r="E264" s="1060"/>
      <c r="F264" s="1060"/>
      <c r="G264" s="1060"/>
      <c r="I264" s="369"/>
      <c r="J264" s="369"/>
      <c r="K264" s="369"/>
      <c r="L264" s="369"/>
      <c r="M264" s="369"/>
      <c r="N264" s="369"/>
      <c r="O264" s="369"/>
    </row>
    <row r="265" spans="1:15" ht="15" customHeight="1">
      <c r="A265" s="1060"/>
      <c r="B265" s="1060"/>
      <c r="C265" s="1060"/>
      <c r="D265" s="1060"/>
      <c r="E265" s="1060"/>
      <c r="F265" s="1060"/>
      <c r="G265" s="1060"/>
      <c r="I265" s="369"/>
      <c r="J265" s="369"/>
      <c r="K265" s="369"/>
      <c r="L265" s="369"/>
      <c r="M265" s="369"/>
      <c r="N265" s="369"/>
      <c r="O265" s="369"/>
    </row>
    <row r="266" spans="1:15">
      <c r="A266" s="386" t="s">
        <v>1215</v>
      </c>
      <c r="B266" s="393"/>
      <c r="C266" s="393"/>
      <c r="D266" s="393"/>
      <c r="E266" s="393"/>
      <c r="F266" s="393"/>
      <c r="G266" s="393"/>
      <c r="I266" s="369"/>
      <c r="J266" s="369"/>
      <c r="K266" s="369"/>
      <c r="L266" s="369"/>
      <c r="M266" s="369"/>
      <c r="N266" s="369"/>
      <c r="O266" s="369"/>
    </row>
    <row r="267" spans="1:15">
      <c r="A267" s="386" t="s">
        <v>1216</v>
      </c>
      <c r="B267" s="393"/>
      <c r="C267" s="393"/>
      <c r="D267" s="393"/>
      <c r="E267" s="393"/>
      <c r="F267" s="393"/>
      <c r="G267" s="393"/>
      <c r="I267" s="369"/>
      <c r="J267" s="369"/>
      <c r="K267" s="369"/>
      <c r="L267" s="369"/>
      <c r="M267" s="369"/>
      <c r="N267" s="369"/>
      <c r="O267" s="369"/>
    </row>
    <row r="268" spans="1:15">
      <c r="A268" s="386" t="s">
        <v>1217</v>
      </c>
      <c r="B268" s="393"/>
      <c r="C268" s="393"/>
      <c r="D268" s="393"/>
      <c r="E268" s="393"/>
      <c r="F268" s="393"/>
      <c r="G268" s="393"/>
      <c r="I268" s="369"/>
      <c r="J268" s="369"/>
      <c r="K268" s="369"/>
      <c r="L268" s="369"/>
      <c r="M268" s="369"/>
      <c r="N268" s="369"/>
      <c r="O268" s="369"/>
    </row>
    <row r="269" spans="1:15">
      <c r="A269" s="386" t="s">
        <v>1218</v>
      </c>
      <c r="B269" s="393"/>
      <c r="C269" s="393"/>
      <c r="D269" s="393"/>
      <c r="E269" s="393"/>
      <c r="F269" s="393"/>
      <c r="G269" s="393"/>
      <c r="I269" s="369"/>
      <c r="J269" s="369"/>
      <c r="K269" s="369"/>
      <c r="L269" s="369"/>
      <c r="M269" s="369"/>
      <c r="N269" s="369"/>
      <c r="O269" s="369"/>
    </row>
    <row r="270" spans="1:15">
      <c r="A270" s="386" t="s">
        <v>1219</v>
      </c>
      <c r="B270" s="393"/>
      <c r="C270" s="393"/>
      <c r="D270" s="393"/>
      <c r="E270" s="393"/>
      <c r="F270" s="393"/>
      <c r="G270" s="393"/>
      <c r="I270" s="369"/>
      <c r="J270" s="369"/>
      <c r="K270" s="369"/>
      <c r="L270" s="369"/>
      <c r="M270" s="369"/>
      <c r="N270" s="369"/>
      <c r="O270" s="369"/>
    </row>
    <row r="271" spans="1:15">
      <c r="A271" s="386" t="s">
        <v>1220</v>
      </c>
      <c r="B271" s="393"/>
      <c r="C271" s="393"/>
      <c r="D271" s="393"/>
      <c r="E271" s="393"/>
      <c r="F271" s="393"/>
      <c r="G271" s="393"/>
      <c r="I271" s="369"/>
      <c r="J271" s="369"/>
      <c r="K271" s="369"/>
      <c r="L271" s="369"/>
      <c r="M271" s="369"/>
      <c r="N271" s="369"/>
      <c r="O271" s="369"/>
    </row>
    <row r="272" spans="1:15">
      <c r="A272" s="386" t="s">
        <v>1221</v>
      </c>
      <c r="B272" s="393"/>
      <c r="C272" s="393"/>
      <c r="D272" s="393"/>
      <c r="E272" s="393"/>
      <c r="F272" s="393"/>
      <c r="G272" s="393"/>
      <c r="I272" s="369"/>
      <c r="J272" s="369"/>
      <c r="K272" s="369"/>
      <c r="L272" s="369"/>
      <c r="M272" s="369"/>
      <c r="N272" s="369"/>
      <c r="O272" s="369"/>
    </row>
    <row r="273" spans="1:15">
      <c r="A273" s="386" t="s">
        <v>1222</v>
      </c>
      <c r="B273" s="393"/>
      <c r="C273" s="393"/>
      <c r="D273" s="393"/>
      <c r="E273" s="393"/>
      <c r="F273" s="393"/>
      <c r="G273" s="393"/>
      <c r="I273" s="369"/>
      <c r="J273" s="369"/>
      <c r="K273" s="369"/>
      <c r="L273" s="369"/>
      <c r="M273" s="369"/>
      <c r="N273" s="369"/>
      <c r="O273" s="369"/>
    </row>
    <row r="274" spans="1:15">
      <c r="A274" s="386" t="s">
        <v>1223</v>
      </c>
      <c r="B274" s="393"/>
      <c r="C274" s="393"/>
      <c r="D274" s="393"/>
      <c r="E274" s="393"/>
      <c r="F274" s="393"/>
      <c r="G274" s="393"/>
      <c r="I274" s="369"/>
      <c r="J274" s="369"/>
      <c r="K274" s="369"/>
      <c r="L274" s="369"/>
      <c r="M274" s="369"/>
      <c r="N274" s="369"/>
      <c r="O274" s="369"/>
    </row>
    <row r="275" spans="1:15">
      <c r="A275" s="386" t="s">
        <v>1224</v>
      </c>
      <c r="B275" s="393"/>
      <c r="C275" s="393"/>
      <c r="D275" s="393"/>
      <c r="E275" s="393"/>
      <c r="F275" s="393"/>
      <c r="G275" s="393"/>
      <c r="I275" s="369"/>
      <c r="J275" s="369"/>
      <c r="K275" s="369"/>
      <c r="L275" s="369"/>
      <c r="M275" s="369"/>
      <c r="N275" s="369"/>
      <c r="O275" s="369"/>
    </row>
    <row r="276" spans="1:15">
      <c r="A276" s="386" t="s">
        <v>1225</v>
      </c>
      <c r="B276" s="393"/>
      <c r="C276" s="393"/>
      <c r="D276" s="393"/>
      <c r="E276" s="393"/>
      <c r="F276" s="393"/>
      <c r="G276" s="393"/>
      <c r="I276" s="369"/>
      <c r="J276" s="369"/>
      <c r="K276" s="369"/>
      <c r="L276" s="369"/>
      <c r="M276" s="369"/>
      <c r="N276" s="369"/>
      <c r="O276" s="369"/>
    </row>
    <row r="277" spans="1:15">
      <c r="A277" s="386" t="s">
        <v>1226</v>
      </c>
      <c r="B277" s="393"/>
      <c r="C277" s="393"/>
      <c r="D277" s="393"/>
      <c r="E277" s="393"/>
      <c r="F277" s="393"/>
      <c r="G277" s="393"/>
      <c r="I277" s="369"/>
      <c r="J277" s="369"/>
      <c r="K277" s="369"/>
      <c r="L277" s="369"/>
      <c r="M277" s="369"/>
      <c r="N277" s="369"/>
      <c r="O277" s="369"/>
    </row>
    <row r="278" spans="1:15">
      <c r="A278" s="386" t="s">
        <v>1227</v>
      </c>
      <c r="B278" s="393"/>
      <c r="C278" s="393"/>
      <c r="D278" s="393"/>
      <c r="E278" s="393"/>
      <c r="F278" s="393"/>
      <c r="G278" s="393"/>
      <c r="I278" s="369"/>
      <c r="J278" s="369"/>
      <c r="K278" s="369"/>
      <c r="L278" s="369"/>
      <c r="M278" s="369"/>
      <c r="N278" s="369"/>
      <c r="O278" s="369"/>
    </row>
    <row r="279" spans="1:15">
      <c r="A279" s="386" t="s">
        <v>1228</v>
      </c>
      <c r="B279" s="393"/>
      <c r="C279" s="393"/>
      <c r="D279" s="393"/>
      <c r="E279" s="393"/>
      <c r="F279" s="393"/>
      <c r="G279" s="393"/>
      <c r="I279" s="369"/>
      <c r="J279" s="369"/>
      <c r="K279" s="369"/>
      <c r="L279" s="369"/>
      <c r="M279" s="369"/>
      <c r="N279" s="369"/>
      <c r="O279" s="369"/>
    </row>
    <row r="280" spans="1:15">
      <c r="A280" s="1061" t="s">
        <v>181</v>
      </c>
      <c r="B280" s="1061"/>
      <c r="C280" s="1061"/>
      <c r="D280" s="1059" t="s">
        <v>1330</v>
      </c>
      <c r="E280" s="1059"/>
      <c r="F280" s="1059"/>
      <c r="G280" s="1059"/>
      <c r="I280" s="369"/>
      <c r="J280" s="369"/>
      <c r="K280" s="369"/>
      <c r="L280" s="369"/>
      <c r="M280" s="369"/>
      <c r="N280" s="369"/>
      <c r="O280" s="369"/>
    </row>
    <row r="281" spans="1:15" ht="15" customHeight="1">
      <c r="A281" s="1063" t="s">
        <v>1373</v>
      </c>
      <c r="B281" s="1063"/>
      <c r="C281" s="1063"/>
      <c r="D281" s="1063"/>
      <c r="E281" s="1063"/>
      <c r="F281" s="1063"/>
      <c r="G281" s="1063"/>
      <c r="I281" s="369"/>
      <c r="J281" s="369"/>
      <c r="K281" s="369"/>
      <c r="L281" s="369"/>
      <c r="M281" s="369"/>
      <c r="N281" s="369"/>
      <c r="O281" s="369"/>
    </row>
    <row r="282" spans="1:15">
      <c r="A282" s="1063"/>
      <c r="B282" s="1063"/>
      <c r="C282" s="1063"/>
      <c r="D282" s="1063"/>
      <c r="E282" s="1063"/>
      <c r="F282" s="1063"/>
      <c r="G282" s="1063"/>
      <c r="I282" s="369"/>
      <c r="J282" s="369"/>
      <c r="K282" s="369"/>
      <c r="L282" s="369"/>
      <c r="M282" s="369"/>
      <c r="N282" s="369"/>
      <c r="O282" s="369"/>
    </row>
    <row r="283" spans="1:15">
      <c r="A283" s="1061" t="s">
        <v>1075</v>
      </c>
      <c r="B283" s="1061"/>
      <c r="C283" s="1061"/>
      <c r="D283" s="1061"/>
      <c r="E283" s="1059" t="s">
        <v>1326</v>
      </c>
      <c r="F283" s="1059"/>
      <c r="G283" s="1059"/>
      <c r="I283" s="369"/>
      <c r="J283" s="369"/>
      <c r="K283" s="369"/>
      <c r="L283" s="369"/>
      <c r="M283" s="369"/>
      <c r="N283" s="369"/>
      <c r="O283" s="369"/>
    </row>
    <row r="284" spans="1:15" ht="15" customHeight="1">
      <c r="A284" s="1077" t="s">
        <v>1058</v>
      </c>
      <c r="B284" s="1077"/>
      <c r="C284" s="1077"/>
      <c r="D284" s="1077"/>
      <c r="E284" s="1077"/>
      <c r="F284" s="1077"/>
      <c r="G284" s="1077"/>
    </row>
    <row r="285" spans="1:15">
      <c r="A285" s="1077"/>
      <c r="B285" s="1077"/>
      <c r="C285" s="1077"/>
      <c r="D285" s="1077"/>
      <c r="E285" s="1077"/>
      <c r="F285" s="1077"/>
      <c r="G285" s="1077"/>
    </row>
    <row r="286" spans="1:15">
      <c r="A286" s="1077"/>
      <c r="B286" s="1077"/>
      <c r="C286" s="1077"/>
      <c r="D286" s="1077"/>
      <c r="E286" s="1077"/>
      <c r="F286" s="1077"/>
      <c r="G286" s="1077"/>
    </row>
    <row r="287" spans="1:15">
      <c r="A287" s="1077" t="s">
        <v>1059</v>
      </c>
      <c r="B287" s="1077"/>
      <c r="C287" s="1077"/>
      <c r="D287" s="1077"/>
      <c r="E287" s="1077"/>
      <c r="F287" s="1077"/>
      <c r="G287" s="1077"/>
    </row>
    <row r="288" spans="1:15">
      <c r="A288" s="1077"/>
      <c r="B288" s="1077"/>
      <c r="C288" s="1077"/>
      <c r="D288" s="1077"/>
      <c r="E288" s="1077"/>
      <c r="F288" s="1077"/>
      <c r="G288" s="1077"/>
    </row>
    <row r="289" spans="1:15">
      <c r="A289" s="1061" t="s">
        <v>181</v>
      </c>
      <c r="B289" s="1061"/>
      <c r="C289" s="1061"/>
      <c r="D289" s="1059" t="s">
        <v>1326</v>
      </c>
      <c r="E289" s="1059"/>
      <c r="F289" s="1059"/>
      <c r="G289" s="1059"/>
      <c r="I289" s="369"/>
      <c r="J289" s="369"/>
      <c r="K289" s="369"/>
      <c r="L289" s="369"/>
      <c r="M289" s="369"/>
      <c r="N289" s="369"/>
      <c r="O289" s="369"/>
    </row>
    <row r="290" spans="1:15">
      <c r="A290" s="365" t="s">
        <v>1358</v>
      </c>
      <c r="B290" s="659"/>
      <c r="C290" s="659"/>
      <c r="D290" s="659"/>
      <c r="E290" s="659"/>
      <c r="F290" s="659"/>
      <c r="G290" s="659"/>
      <c r="I290" s="369"/>
      <c r="J290" s="369"/>
      <c r="K290" s="369"/>
      <c r="L290" s="369"/>
      <c r="M290" s="369"/>
      <c r="N290" s="369"/>
      <c r="O290" s="369"/>
    </row>
    <row r="291" spans="1:15">
      <c r="A291"/>
      <c r="B291" s="328"/>
      <c r="C291" s="328"/>
      <c r="D291" s="328"/>
      <c r="E291" s="328"/>
      <c r="F291" s="328"/>
      <c r="G291" s="328"/>
    </row>
    <row r="292" spans="1:15">
      <c r="A292" s="334" t="s">
        <v>910</v>
      </c>
      <c r="B292" s="310"/>
      <c r="C292" s="310"/>
      <c r="D292" s="310"/>
      <c r="E292" s="310"/>
      <c r="F292" s="310"/>
      <c r="G292" s="310"/>
    </row>
    <row r="293" spans="1:15">
      <c r="A293" s="316" t="s">
        <v>1259</v>
      </c>
      <c r="B293" s="316"/>
      <c r="C293" s="316"/>
      <c r="D293" s="395"/>
      <c r="E293" s="395"/>
      <c r="F293" s="395"/>
      <c r="G293" s="394" t="s">
        <v>1458</v>
      </c>
    </row>
    <row r="294" spans="1:15">
      <c r="A294" s="1077" t="s">
        <v>1230</v>
      </c>
      <c r="B294" s="1077"/>
      <c r="C294" s="1077"/>
      <c r="D294" s="1077"/>
      <c r="E294" s="1077"/>
      <c r="F294" s="1077"/>
      <c r="G294" s="1077"/>
    </row>
    <row r="295" spans="1:15">
      <c r="A295" s="1077"/>
      <c r="B295" s="1077"/>
      <c r="C295" s="1077"/>
      <c r="D295" s="1077"/>
      <c r="E295" s="1077"/>
      <c r="F295" s="1077"/>
      <c r="G295" s="1077"/>
    </row>
    <row r="296" spans="1:15">
      <c r="A296" s="1077"/>
      <c r="B296" s="1077"/>
      <c r="C296" s="1077"/>
      <c r="D296" s="1077"/>
      <c r="E296" s="1077"/>
      <c r="F296" s="1077"/>
      <c r="G296" s="1077"/>
    </row>
    <row r="297" spans="1:15">
      <c r="A297" s="309"/>
      <c r="B297" s="309"/>
      <c r="C297" s="309"/>
      <c r="D297" s="309"/>
      <c r="E297" s="309"/>
      <c r="F297" s="309"/>
      <c r="G297" s="309"/>
    </row>
    <row r="298" spans="1:15">
      <c r="A298" s="376" t="s">
        <v>1051</v>
      </c>
      <c r="B298" s="376"/>
      <c r="C298" s="376"/>
      <c r="D298" s="1078" t="s">
        <v>1459</v>
      </c>
      <c r="E298" s="1078"/>
      <c r="F298" s="1078"/>
      <c r="G298" s="1078"/>
    </row>
    <row r="299" spans="1:15">
      <c r="A299" s="1079" t="s">
        <v>1052</v>
      </c>
      <c r="B299" s="1079"/>
      <c r="C299" s="1079"/>
      <c r="D299" s="1079"/>
      <c r="E299" s="1079"/>
      <c r="F299" s="1079"/>
      <c r="G299" s="1079"/>
    </row>
    <row r="300" spans="1:15" ht="18" customHeight="1">
      <c r="A300" s="1063" t="s">
        <v>1231</v>
      </c>
      <c r="B300" s="1063"/>
      <c r="C300" s="1063"/>
      <c r="D300" s="1063"/>
      <c r="E300" s="1063"/>
      <c r="F300" s="1063"/>
      <c r="G300" s="1063"/>
    </row>
    <row r="301" spans="1:15">
      <c r="A301" s="1063"/>
      <c r="B301" s="1063"/>
      <c r="C301" s="1063"/>
      <c r="D301" s="1063"/>
      <c r="E301" s="1063"/>
      <c r="F301" s="1063"/>
      <c r="G301" s="1063"/>
    </row>
    <row r="302" spans="1:15">
      <c r="A302" s="1063"/>
      <c r="B302" s="1063"/>
      <c r="C302" s="1063"/>
      <c r="D302" s="1063"/>
      <c r="E302" s="1063"/>
      <c r="F302" s="1063"/>
      <c r="G302" s="1063"/>
    </row>
    <row r="303" spans="1:15" ht="15" customHeight="1">
      <c r="A303" s="1077" t="s">
        <v>1258</v>
      </c>
      <c r="B303" s="1077"/>
      <c r="C303" s="1077"/>
      <c r="D303" s="1077"/>
      <c r="E303" s="1077"/>
      <c r="F303" s="1077"/>
      <c r="G303" s="1077"/>
    </row>
    <row r="304" spans="1:15">
      <c r="A304" s="1077"/>
      <c r="B304" s="1077"/>
      <c r="C304" s="1077"/>
      <c r="D304" s="1077"/>
      <c r="E304" s="1077"/>
      <c r="F304" s="1077"/>
      <c r="G304" s="1077"/>
    </row>
    <row r="305" spans="1:7">
      <c r="A305" s="1077"/>
      <c r="B305" s="1077"/>
      <c r="C305" s="1077"/>
      <c r="D305" s="1077"/>
      <c r="E305" s="1077"/>
      <c r="F305" s="1077"/>
      <c r="G305" s="1077"/>
    </row>
    <row r="306" spans="1:7">
      <c r="A306" s="1080" t="s">
        <v>1053</v>
      </c>
      <c r="B306" s="1080"/>
      <c r="C306" s="1080"/>
      <c r="D306" s="1080"/>
      <c r="E306" s="1080"/>
      <c r="F306" s="1080"/>
      <c r="G306" s="1080"/>
    </row>
    <row r="307" spans="1:7">
      <c r="A307" s="1080"/>
      <c r="B307" s="1080"/>
      <c r="C307" s="1080"/>
      <c r="D307" s="1080"/>
      <c r="E307" s="1080"/>
      <c r="F307" s="1080"/>
      <c r="G307" s="1080"/>
    </row>
    <row r="308" spans="1:7">
      <c r="A308" s="316" t="s">
        <v>1240</v>
      </c>
      <c r="B308" s="316"/>
      <c r="C308" s="316"/>
      <c r="D308" s="1059" t="s">
        <v>1242</v>
      </c>
      <c r="E308" s="1059"/>
      <c r="F308" s="1059"/>
      <c r="G308" s="1059"/>
    </row>
    <row r="309" spans="1:7" ht="15" customHeight="1">
      <c r="A309" s="1080" t="s">
        <v>1190</v>
      </c>
      <c r="B309" s="1080"/>
      <c r="C309" s="1080"/>
      <c r="D309" s="1080"/>
      <c r="E309" s="1080"/>
      <c r="F309" s="1080"/>
      <c r="G309" s="1080"/>
    </row>
    <row r="310" spans="1:7" customFormat="1">
      <c r="A310" s="1080"/>
      <c r="B310" s="1080"/>
      <c r="C310" s="1080"/>
      <c r="D310" s="1080"/>
      <c r="E310" s="1080"/>
      <c r="F310" s="1080"/>
      <c r="G310" s="1080"/>
    </row>
    <row r="311" spans="1:7" customFormat="1">
      <c r="A311" s="327" t="s">
        <v>1191</v>
      </c>
      <c r="B311" s="327"/>
      <c r="C311" s="327"/>
      <c r="D311" s="327"/>
      <c r="E311" s="327"/>
      <c r="F311" s="327"/>
      <c r="G311" s="327"/>
    </row>
    <row r="312" spans="1:7" customFormat="1" ht="15" customHeight="1">
      <c r="A312" s="1081" t="s">
        <v>1192</v>
      </c>
      <c r="B312" s="1081"/>
      <c r="C312" s="1081"/>
      <c r="D312" s="1081"/>
      <c r="E312" s="1081"/>
      <c r="F312" s="1081"/>
      <c r="G312" s="1081"/>
    </row>
    <row r="313" spans="1:7">
      <c r="A313" s="1081"/>
      <c r="B313" s="1081"/>
      <c r="C313" s="1081"/>
      <c r="D313" s="1081"/>
      <c r="E313" s="1081"/>
      <c r="F313" s="1081"/>
      <c r="G313" s="1081"/>
    </row>
    <row r="314" spans="1:7" ht="15" customHeight="1">
      <c r="A314" s="1080" t="s">
        <v>1193</v>
      </c>
      <c r="B314" s="1080"/>
      <c r="C314" s="1080"/>
      <c r="D314" s="1080"/>
      <c r="E314" s="1080"/>
      <c r="F314" s="1080"/>
      <c r="G314" s="1080"/>
    </row>
    <row r="315" spans="1:7">
      <c r="A315" s="1080"/>
      <c r="B315" s="1080"/>
      <c r="C315" s="1080"/>
      <c r="D315" s="1080"/>
      <c r="E315" s="1080"/>
      <c r="F315" s="1080"/>
      <c r="G315" s="1080"/>
    </row>
    <row r="316" spans="1:7">
      <c r="A316" s="1080"/>
      <c r="B316" s="1080"/>
      <c r="C316" s="1080"/>
      <c r="D316" s="1080"/>
      <c r="E316" s="1080"/>
      <c r="F316" s="1080"/>
      <c r="G316" s="1080"/>
    </row>
    <row r="317" spans="1:7">
      <c r="A317" s="1080"/>
      <c r="B317" s="1080"/>
      <c r="C317" s="1080"/>
      <c r="D317" s="1080"/>
      <c r="E317" s="1080"/>
      <c r="F317" s="1080"/>
      <c r="G317" s="1080"/>
    </row>
    <row r="318" spans="1:7">
      <c r="A318" s="1080"/>
      <c r="B318" s="1080"/>
      <c r="C318" s="1080"/>
      <c r="D318" s="1080"/>
      <c r="E318" s="1080"/>
      <c r="F318" s="1080"/>
      <c r="G318" s="1080"/>
    </row>
    <row r="319" spans="1:7">
      <c r="A319" s="1080" t="s">
        <v>1241</v>
      </c>
      <c r="B319" s="1080"/>
      <c r="C319" s="1080"/>
      <c r="D319" s="1080"/>
      <c r="E319" s="1080"/>
      <c r="F319" s="1080"/>
      <c r="G319" s="1080"/>
    </row>
    <row r="320" spans="1:7">
      <c r="A320" s="1080"/>
      <c r="B320" s="1080"/>
      <c r="C320" s="1080"/>
      <c r="D320" s="1080"/>
      <c r="E320" s="1080"/>
      <c r="F320" s="1080"/>
      <c r="G320" s="1080"/>
    </row>
    <row r="321" spans="1:9">
      <c r="A321" s="1080"/>
      <c r="B321" s="1080"/>
      <c r="C321" s="1080"/>
      <c r="D321" s="1080"/>
      <c r="E321" s="1080"/>
      <c r="F321" s="1080"/>
      <c r="G321" s="1080"/>
    </row>
    <row r="322" spans="1:9">
      <c r="A322" s="1080"/>
      <c r="B322" s="1080"/>
      <c r="C322" s="1080"/>
      <c r="D322" s="1080"/>
      <c r="E322" s="1080"/>
      <c r="F322" s="1080"/>
      <c r="G322" s="1080"/>
    </row>
    <row r="323" spans="1:9">
      <c r="A323" s="1080"/>
      <c r="B323" s="1080"/>
      <c r="C323" s="1080"/>
      <c r="D323" s="1080"/>
      <c r="E323" s="1080"/>
      <c r="F323" s="1080"/>
      <c r="G323" s="1080"/>
    </row>
    <row r="324" spans="1:9">
      <c r="A324" s="316" t="s">
        <v>1096</v>
      </c>
      <c r="B324" s="316"/>
      <c r="C324" s="316"/>
      <c r="D324" s="1059" t="s">
        <v>1097</v>
      </c>
      <c r="E324" s="1059"/>
      <c r="F324" s="1059"/>
      <c r="G324" s="1059"/>
    </row>
    <row r="325" spans="1:9">
      <c r="A325" s="1063" t="s">
        <v>553</v>
      </c>
      <c r="B325" s="1063"/>
      <c r="C325" s="1063"/>
      <c r="D325" s="1063"/>
      <c r="E325" s="1063"/>
      <c r="F325" s="1063"/>
      <c r="G325" s="1063"/>
    </row>
    <row r="326" spans="1:9" ht="15" customHeight="1">
      <c r="A326" s="1060" t="s">
        <v>1374</v>
      </c>
      <c r="B326" s="1060"/>
      <c r="C326" s="1060"/>
      <c r="D326" s="1060"/>
      <c r="E326" s="1060"/>
      <c r="F326" s="1060"/>
      <c r="G326" s="1060"/>
      <c r="I326" s="327"/>
    </row>
    <row r="327" spans="1:9">
      <c r="A327" s="1060"/>
      <c r="B327" s="1060"/>
      <c r="C327" s="1060"/>
      <c r="D327" s="1060"/>
      <c r="E327" s="1060"/>
      <c r="F327" s="1060"/>
      <c r="G327" s="1060"/>
    </row>
    <row r="328" spans="1:9">
      <c r="A328" s="1060"/>
      <c r="B328" s="1060"/>
      <c r="C328" s="1060"/>
      <c r="D328" s="1060"/>
      <c r="E328" s="1060"/>
      <c r="F328" s="1060"/>
      <c r="G328" s="1060"/>
    </row>
    <row r="329" spans="1:9">
      <c r="A329" s="1060"/>
      <c r="B329" s="1060"/>
      <c r="C329" s="1060"/>
      <c r="D329" s="1060"/>
      <c r="E329" s="1060"/>
      <c r="F329" s="1060"/>
      <c r="G329" s="1060"/>
    </row>
    <row r="330" spans="1:9">
      <c r="A330" s="1060"/>
      <c r="B330" s="1060"/>
      <c r="C330" s="1060"/>
      <c r="D330" s="1060"/>
      <c r="E330" s="1060"/>
      <c r="F330" s="1060"/>
      <c r="G330" s="1060"/>
    </row>
    <row r="331" spans="1:9">
      <c r="A331" s="1060"/>
      <c r="B331" s="1060"/>
      <c r="C331" s="1060"/>
      <c r="D331" s="1060"/>
      <c r="E331" s="1060"/>
      <c r="F331" s="1060"/>
      <c r="G331" s="1060"/>
    </row>
    <row r="332" spans="1:9">
      <c r="A332" s="1060"/>
      <c r="B332" s="1060"/>
      <c r="C332" s="1060"/>
      <c r="D332" s="1060"/>
      <c r="E332" s="1060"/>
      <c r="F332" s="1060"/>
      <c r="G332" s="1060"/>
    </row>
    <row r="333" spans="1:9">
      <c r="A333" s="1060"/>
      <c r="B333" s="1060"/>
      <c r="C333" s="1060"/>
      <c r="D333" s="1060"/>
      <c r="E333" s="1060"/>
      <c r="F333" s="1060"/>
      <c r="G333" s="1060"/>
    </row>
    <row r="334" spans="1:9">
      <c r="A334" s="412" t="s">
        <v>1189</v>
      </c>
      <c r="B334" s="414"/>
      <c r="C334" s="414"/>
      <c r="D334" s="414"/>
      <c r="E334" s="414"/>
      <c r="F334" s="414"/>
      <c r="G334" s="414"/>
    </row>
    <row r="335" spans="1:9">
      <c r="A335" s="1065" t="s">
        <v>1260</v>
      </c>
      <c r="B335" s="1065"/>
      <c r="C335" s="1065"/>
      <c r="D335" s="1065"/>
      <c r="E335" s="1065"/>
      <c r="F335" s="1065"/>
      <c r="G335" s="1065"/>
    </row>
    <row r="336" spans="1:9">
      <c r="A336" s="1065"/>
      <c r="B336" s="1065"/>
      <c r="C336" s="1065"/>
      <c r="D336" s="1065"/>
      <c r="E336" s="1065"/>
      <c r="F336" s="1065"/>
      <c r="G336" s="1065"/>
    </row>
    <row r="337" spans="1:15">
      <c r="A337" s="1065"/>
      <c r="B337" s="1065"/>
      <c r="C337" s="1065"/>
      <c r="D337" s="1065"/>
      <c r="E337" s="1065"/>
      <c r="F337" s="1065"/>
      <c r="G337" s="1065"/>
    </row>
    <row r="338" spans="1:15" customFormat="1" ht="15" customHeight="1">
      <c r="A338" s="1065"/>
      <c r="B338" s="1065"/>
      <c r="C338" s="1065"/>
      <c r="D338" s="1065"/>
      <c r="E338" s="1065"/>
      <c r="F338" s="1065"/>
      <c r="G338" s="1065"/>
      <c r="I338" s="310"/>
      <c r="J338" s="310"/>
      <c r="K338" s="310"/>
      <c r="L338" s="310"/>
      <c r="M338" s="310"/>
      <c r="N338" s="310"/>
      <c r="O338" s="310"/>
    </row>
    <row r="339" spans="1:15" customFormat="1">
      <c r="A339" s="1065"/>
      <c r="B339" s="1065"/>
      <c r="C339" s="1065"/>
      <c r="D339" s="1065"/>
      <c r="E339" s="1065"/>
      <c r="F339" s="1065"/>
      <c r="G339" s="1065"/>
      <c r="I339" s="310"/>
      <c r="J339" s="310"/>
      <c r="K339" s="310"/>
      <c r="L339" s="310"/>
      <c r="M339" s="310"/>
      <c r="N339" s="310"/>
      <c r="O339" s="310"/>
    </row>
    <row r="340" spans="1:15" customFormat="1">
      <c r="A340" s="325"/>
      <c r="B340" s="325"/>
      <c r="C340" s="325"/>
      <c r="D340" s="325"/>
      <c r="E340" s="325"/>
      <c r="F340" s="325"/>
      <c r="G340" s="325"/>
      <c r="I340" s="310"/>
      <c r="J340" s="310"/>
      <c r="K340" s="310"/>
      <c r="L340" s="310"/>
      <c r="M340" s="310"/>
      <c r="N340" s="310"/>
      <c r="O340" s="310"/>
    </row>
    <row r="341" spans="1:15"/>
    <row r="342" spans="1:15"/>
    <row r="343" spans="1:15"/>
    <row r="344" spans="1:15"/>
    <row r="345" spans="1:15"/>
    <row r="346" spans="1:15"/>
    <row r="347" spans="1:15"/>
    <row r="348" spans="1:15"/>
    <row r="349" spans="1:15"/>
    <row r="350" spans="1:15"/>
    <row r="351" spans="1:15"/>
    <row r="352" spans="1:15"/>
    <row r="353"/>
    <row r="354"/>
    <row r="355"/>
  </sheetData>
  <mergeCells count="161">
    <mergeCell ref="A326:G333"/>
    <mergeCell ref="C1:G4"/>
    <mergeCell ref="A335:G339"/>
    <mergeCell ref="D308:G308"/>
    <mergeCell ref="A319:G323"/>
    <mergeCell ref="A314:G318"/>
    <mergeCell ref="B176:F176"/>
    <mergeCell ref="B177:F177"/>
    <mergeCell ref="D104:G104"/>
    <mergeCell ref="A283:D283"/>
    <mergeCell ref="E283:G283"/>
    <mergeCell ref="A284:G286"/>
    <mergeCell ref="D246:G246"/>
    <mergeCell ref="A244:G245"/>
    <mergeCell ref="D324:G324"/>
    <mergeCell ref="A325:G325"/>
    <mergeCell ref="A164:G166"/>
    <mergeCell ref="A167:G168"/>
    <mergeCell ref="A169:G171"/>
    <mergeCell ref="A303:G305"/>
    <mergeCell ref="A34:G35"/>
    <mergeCell ref="A46:G47"/>
    <mergeCell ref="A124:G126"/>
    <mergeCell ref="A306:G307"/>
    <mergeCell ref="D213:G213"/>
    <mergeCell ref="A264:G265"/>
    <mergeCell ref="A300:G302"/>
    <mergeCell ref="A294:G296"/>
    <mergeCell ref="D298:G298"/>
    <mergeCell ref="A299:G299"/>
    <mergeCell ref="A309:G310"/>
    <mergeCell ref="A312:G313"/>
    <mergeCell ref="A232:C232"/>
    <mergeCell ref="D232:G232"/>
    <mergeCell ref="A233:G234"/>
    <mergeCell ref="A239:G240"/>
    <mergeCell ref="A235:G236"/>
    <mergeCell ref="A237:G238"/>
    <mergeCell ref="A280:C280"/>
    <mergeCell ref="D280:G280"/>
    <mergeCell ref="A281:G282"/>
    <mergeCell ref="A213:C213"/>
    <mergeCell ref="A261:C261"/>
    <mergeCell ref="D261:G261"/>
    <mergeCell ref="A289:C289"/>
    <mergeCell ref="D289:G289"/>
    <mergeCell ref="I226:O230"/>
    <mergeCell ref="A250:C250"/>
    <mergeCell ref="I225:O225"/>
    <mergeCell ref="A256:D256"/>
    <mergeCell ref="E256:G256"/>
    <mergeCell ref="A257:G260"/>
    <mergeCell ref="A263:D263"/>
    <mergeCell ref="E263:G263"/>
    <mergeCell ref="A287:G288"/>
    <mergeCell ref="A254:C254"/>
    <mergeCell ref="D254:G254"/>
    <mergeCell ref="A255:G255"/>
    <mergeCell ref="A253:G253"/>
    <mergeCell ref="A243:C243"/>
    <mergeCell ref="D243:G243"/>
    <mergeCell ref="A252:C252"/>
    <mergeCell ref="D252:G252"/>
    <mergeCell ref="A246:C246"/>
    <mergeCell ref="A206:G207"/>
    <mergeCell ref="A172:G174"/>
    <mergeCell ref="A181:G187"/>
    <mergeCell ref="A203:G203"/>
    <mergeCell ref="A205:C205"/>
    <mergeCell ref="A189:D189"/>
    <mergeCell ref="E189:G189"/>
    <mergeCell ref="D205:G205"/>
    <mergeCell ref="A161:D161"/>
    <mergeCell ref="E161:G161"/>
    <mergeCell ref="A197:G200"/>
    <mergeCell ref="A202:G202"/>
    <mergeCell ref="A190:G192"/>
    <mergeCell ref="A194:G194"/>
    <mergeCell ref="A180:D180"/>
    <mergeCell ref="E180:G180"/>
    <mergeCell ref="D195:G195"/>
    <mergeCell ref="A196:G196"/>
    <mergeCell ref="A193:G193"/>
    <mergeCell ref="B178:F178"/>
    <mergeCell ref="A137:G140"/>
    <mergeCell ref="A157:G158"/>
    <mergeCell ref="D127:G127"/>
    <mergeCell ref="D136:G136"/>
    <mergeCell ref="D147:G147"/>
    <mergeCell ref="A128:G129"/>
    <mergeCell ref="A142:C142"/>
    <mergeCell ref="D142:G142"/>
    <mergeCell ref="A154:G156"/>
    <mergeCell ref="A130:G132"/>
    <mergeCell ref="A143:G143"/>
    <mergeCell ref="A146:G146"/>
    <mergeCell ref="A148:G152"/>
    <mergeCell ref="A144:G145"/>
    <mergeCell ref="A159:G159"/>
    <mergeCell ref="A133:G134"/>
    <mergeCell ref="A135:G135"/>
    <mergeCell ref="A6:G7"/>
    <mergeCell ref="E10:G10"/>
    <mergeCell ref="A11:G15"/>
    <mergeCell ref="A26:G33"/>
    <mergeCell ref="E18:G18"/>
    <mergeCell ref="A19:G20"/>
    <mergeCell ref="A16:G16"/>
    <mergeCell ref="F22:G22"/>
    <mergeCell ref="A23:G25"/>
    <mergeCell ref="A36:G36"/>
    <mergeCell ref="A113:D113"/>
    <mergeCell ref="A86:G87"/>
    <mergeCell ref="A108:G109"/>
    <mergeCell ref="A121:G122"/>
    <mergeCell ref="A120:B120"/>
    <mergeCell ref="C120:G120"/>
    <mergeCell ref="A105:G106"/>
    <mergeCell ref="A117:G118"/>
    <mergeCell ref="A91:G92"/>
    <mergeCell ref="A94:C94"/>
    <mergeCell ref="D94:G94"/>
    <mergeCell ref="J108:P108"/>
    <mergeCell ref="A107:D107"/>
    <mergeCell ref="A38:C38"/>
    <mergeCell ref="D38:G38"/>
    <mergeCell ref="A39:G39"/>
    <mergeCell ref="A40:C40"/>
    <mergeCell ref="D40:G40"/>
    <mergeCell ref="A66:G67"/>
    <mergeCell ref="A68:G71"/>
    <mergeCell ref="A57:C57"/>
    <mergeCell ref="D57:G57"/>
    <mergeCell ref="A61:C61"/>
    <mergeCell ref="A101:C101"/>
    <mergeCell ref="A102:G103"/>
    <mergeCell ref="E107:G107"/>
    <mergeCell ref="J109:P109"/>
    <mergeCell ref="A114:G116"/>
    <mergeCell ref="E44:G44"/>
    <mergeCell ref="D61:G61"/>
    <mergeCell ref="A62:G64"/>
    <mergeCell ref="A85:C85"/>
    <mergeCell ref="D85:G85"/>
    <mergeCell ref="D53:G53"/>
    <mergeCell ref="A54:G56"/>
    <mergeCell ref="A53:C53"/>
    <mergeCell ref="E113:G113"/>
    <mergeCell ref="A58:G59"/>
    <mergeCell ref="A73:G76"/>
    <mergeCell ref="A78:C78"/>
    <mergeCell ref="A110:G112"/>
    <mergeCell ref="A104:C104"/>
    <mergeCell ref="A72:C72"/>
    <mergeCell ref="D72:G72"/>
    <mergeCell ref="D78:G78"/>
    <mergeCell ref="A79:G83"/>
    <mergeCell ref="A65:C65"/>
    <mergeCell ref="D65:G65"/>
    <mergeCell ref="A95:G100"/>
    <mergeCell ref="J107:P107"/>
  </mergeCell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mars 2017</oddHeader>
    <oddFooter>&amp;C&amp;"-,Italique"&amp;8&amp;A&amp;R&amp;8Page &amp;P</oddFooter>
  </headerFooter>
  <rowBreaks count="3" manualBreakCount="3">
    <brk id="51" max="16383" man="1"/>
    <brk id="203" max="16383" man="1"/>
    <brk id="253"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56"/>
  <sheetViews>
    <sheetView showGridLines="0" showRowColHeaders="0" tabSelected="1" showRuler="0" view="pageLayout" zoomScaleNormal="100" workbookViewId="0">
      <selection activeCell="A2" sqref="A2"/>
    </sheetView>
  </sheetViews>
  <sheetFormatPr baseColWidth="10" defaultColWidth="0" defaultRowHeight="15" zeroHeight="1"/>
  <cols>
    <col min="1" max="8" width="11.42578125" customWidth="1"/>
    <col min="9" max="16384" width="11.425781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sheetData>
  <sheetProtection algorithmName="SHA-512" hashValue="qINX/WoSjWnG3MtNFzs8jFzf9z6w1fk3chRiM8bjKq4eUfpqQCruev0uwBSgwXwg2Bnvej/QWR35LrqEyi9uSg==" saltValue="sFy2nUF5TgiYfu0hDPId8Q==" spinCount="100000" sheet="1" objects="1" scenarios="1"/>
  <printOptions horizontalCentered="1" verticalCentered="1"/>
  <pageMargins left="0.11811023622047245" right="0.11811023622047245" top="0.15748031496062992" bottom="0.19685039370078741"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VC63"/>
  <sheetViews>
    <sheetView showRuler="0" view="pageLayout" zoomScaleNormal="100" workbookViewId="0">
      <selection activeCell="D14" sqref="D14"/>
    </sheetView>
  </sheetViews>
  <sheetFormatPr baseColWidth="10" defaultColWidth="0" defaultRowHeight="15" zeroHeight="1"/>
  <cols>
    <col min="1" max="17" width="4.85546875" customWidth="1"/>
    <col min="18" max="18" width="3.5703125" customWidth="1"/>
    <col min="19" max="20" width="4.85546875" customWidth="1"/>
    <col min="21" max="16384" width="11.42578125" hidden="1"/>
  </cols>
  <sheetData>
    <row r="1" spans="1:16123" s="310" customFormat="1" ht="15" customHeight="1">
      <c r="A1" s="582"/>
      <c r="B1" s="583"/>
      <c r="D1" s="593"/>
      <c r="E1" s="593"/>
      <c r="F1" s="593"/>
      <c r="G1" s="1104" t="s">
        <v>1039</v>
      </c>
      <c r="H1" s="1105"/>
      <c r="I1" s="1105"/>
      <c r="J1" s="1105"/>
      <c r="K1" s="1105"/>
      <c r="L1" s="1105"/>
      <c r="M1" s="1105"/>
      <c r="N1" s="1105"/>
      <c r="O1" s="1105"/>
      <c r="P1" s="1105"/>
      <c r="Q1" s="1105"/>
      <c r="R1" s="1105"/>
      <c r="S1" s="1105"/>
      <c r="T1" s="1105"/>
      <c r="U1" s="1105"/>
    </row>
    <row r="2" spans="1:16123" s="310" customFormat="1" ht="18.75" customHeight="1">
      <c r="A2" s="582"/>
      <c r="B2" s="583"/>
      <c r="D2" s="593"/>
      <c r="E2" s="593"/>
      <c r="F2" s="593"/>
      <c r="G2" s="1104"/>
      <c r="H2" s="1105"/>
      <c r="I2" s="1105"/>
      <c r="J2" s="1105"/>
      <c r="K2" s="1105"/>
      <c r="L2" s="1105"/>
      <c r="M2" s="1105"/>
      <c r="N2" s="1105"/>
      <c r="O2" s="1105"/>
      <c r="P2" s="1105"/>
      <c r="Q2" s="1105"/>
      <c r="R2" s="1105"/>
      <c r="S2" s="1105"/>
      <c r="T2" s="1105"/>
      <c r="U2" s="1105"/>
    </row>
    <row r="3" spans="1:16123" s="310" customFormat="1" ht="14.25" customHeight="1">
      <c r="A3" s="582"/>
      <c r="B3" s="584"/>
      <c r="D3" s="593"/>
      <c r="E3" s="593"/>
      <c r="F3" s="593"/>
      <c r="G3" s="1104"/>
      <c r="H3" s="1105"/>
      <c r="I3" s="1105"/>
      <c r="J3" s="1105"/>
      <c r="K3" s="1105"/>
      <c r="L3" s="1105"/>
      <c r="M3" s="1105"/>
      <c r="N3" s="1105"/>
      <c r="O3" s="1105"/>
      <c r="P3" s="1105"/>
      <c r="Q3" s="1105"/>
      <c r="R3" s="1105"/>
      <c r="S3" s="1105"/>
      <c r="T3" s="1105"/>
      <c r="U3" s="1105"/>
    </row>
    <row r="4" spans="1:16123" s="310" customFormat="1" ht="21">
      <c r="A4" s="582"/>
      <c r="B4" s="582"/>
      <c r="D4" s="593"/>
      <c r="E4" s="593"/>
      <c r="F4" s="593"/>
      <c r="G4" s="1104"/>
      <c r="H4" s="1105"/>
      <c r="I4" s="1105"/>
      <c r="J4" s="1105"/>
      <c r="K4" s="1105"/>
      <c r="L4" s="1105"/>
      <c r="M4" s="1105"/>
      <c r="N4" s="1105"/>
      <c r="O4" s="1105"/>
      <c r="P4" s="1105"/>
      <c r="Q4" s="1105"/>
      <c r="R4" s="1105"/>
      <c r="S4" s="1105"/>
      <c r="T4" s="1105"/>
      <c r="U4" s="1105"/>
    </row>
    <row r="5" spans="1:16123" s="310" customFormat="1">
      <c r="A5" s="535"/>
      <c r="B5" s="535"/>
      <c r="C5" s="535"/>
      <c r="D5" s="535"/>
      <c r="E5" s="535"/>
      <c r="F5" s="535"/>
      <c r="G5" s="535"/>
      <c r="H5" s="163"/>
      <c r="I5"/>
    </row>
    <row r="6" spans="1:16123" s="310" customFormat="1" ht="15" customHeight="1">
      <c r="A6" s="1102" t="s">
        <v>1529</v>
      </c>
      <c r="B6" s="1102"/>
      <c r="C6" s="1102"/>
      <c r="D6" s="1102"/>
      <c r="E6" s="1102"/>
      <c r="F6" s="1102"/>
      <c r="G6" s="1102"/>
      <c r="H6" s="1102"/>
      <c r="I6" s="1102"/>
      <c r="J6" s="1102"/>
      <c r="K6" s="1102"/>
      <c r="L6" s="1102"/>
      <c r="M6" s="1102"/>
      <c r="N6" s="1102"/>
      <c r="O6" s="1102"/>
      <c r="P6" s="1102"/>
      <c r="Q6" s="1102"/>
      <c r="R6" s="1102"/>
      <c r="S6" s="1102"/>
      <c r="T6" s="1102"/>
    </row>
    <row r="7" spans="1:16123" s="310" customFormat="1" ht="15" customHeight="1">
      <c r="A7" s="1102"/>
      <c r="B7" s="1102"/>
      <c r="C7" s="1102"/>
      <c r="D7" s="1102"/>
      <c r="E7" s="1102"/>
      <c r="F7" s="1102"/>
      <c r="G7" s="1102"/>
      <c r="H7" s="1102"/>
      <c r="I7" s="1102"/>
      <c r="J7" s="1102"/>
      <c r="K7" s="1102"/>
      <c r="L7" s="1102"/>
      <c r="M7" s="1102"/>
      <c r="N7" s="1102"/>
      <c r="O7" s="1102"/>
      <c r="P7" s="1102"/>
      <c r="Q7" s="1102"/>
      <c r="R7" s="1102"/>
      <c r="S7" s="1102"/>
      <c r="T7" s="1102"/>
    </row>
    <row r="8" spans="1:16123"/>
    <row r="9" spans="1:16123" s="163" customFormat="1" ht="15" customHeight="1">
      <c r="A9" s="1103" t="s">
        <v>1232</v>
      </c>
      <c r="B9" s="1103"/>
      <c r="C9" s="1103"/>
      <c r="D9" s="1103"/>
      <c r="E9" s="1103"/>
      <c r="F9" s="1103"/>
      <c r="G9" s="1103"/>
      <c r="H9" s="1103"/>
      <c r="I9" s="1103"/>
      <c r="J9" s="1103"/>
      <c r="K9" s="1103"/>
      <c r="L9" s="1103"/>
      <c r="M9" s="1103"/>
      <c r="N9" s="1103"/>
      <c r="O9" s="1103"/>
      <c r="P9" s="1103"/>
      <c r="Q9" s="1103"/>
      <c r="R9" s="1103"/>
      <c r="S9" s="1103"/>
      <c r="T9" s="1103"/>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row>
    <row r="10" spans="1:16123"/>
    <row r="11" spans="1:16123"/>
    <row r="12" spans="1:16123">
      <c r="T12" t="s">
        <v>1375</v>
      </c>
    </row>
    <row r="13" spans="1:16123"/>
    <row r="14" spans="1:16123">
      <c r="A14" s="592" t="s">
        <v>810</v>
      </c>
      <c r="B14" s="592"/>
      <c r="C14" s="592"/>
      <c r="D14" s="592"/>
      <c r="E14" s="592"/>
      <c r="F14" s="592"/>
      <c r="G14" s="592"/>
      <c r="H14" s="592"/>
      <c r="T14">
        <v>3</v>
      </c>
    </row>
    <row r="15" spans="1:16123">
      <c r="A15" s="965"/>
      <c r="B15" s="592"/>
    </row>
    <row r="16" spans="1:16123">
      <c r="A16" s="592"/>
      <c r="B16" s="592"/>
    </row>
    <row r="17" spans="1:20">
      <c r="A17" s="592" t="s">
        <v>1261</v>
      </c>
      <c r="B17" s="592"/>
      <c r="C17" s="592"/>
      <c r="D17" s="592"/>
      <c r="E17" s="592"/>
      <c r="F17" s="592"/>
      <c r="G17" s="592"/>
      <c r="H17" s="592"/>
      <c r="T17">
        <v>6</v>
      </c>
    </row>
    <row r="18" spans="1:20">
      <c r="A18" s="965"/>
      <c r="B18" s="592"/>
    </row>
    <row r="19" spans="1:20">
      <c r="A19" s="592"/>
      <c r="B19" s="592"/>
    </row>
    <row r="20" spans="1:20">
      <c r="A20" s="592" t="s">
        <v>0</v>
      </c>
      <c r="B20" s="592"/>
      <c r="C20" s="592"/>
      <c r="D20" s="662"/>
      <c r="T20">
        <v>10</v>
      </c>
    </row>
    <row r="21" spans="1:20"/>
    <row r="22" spans="1:20"/>
    <row r="23" spans="1:20">
      <c r="A23" s="592" t="s">
        <v>274</v>
      </c>
      <c r="B23" s="592"/>
      <c r="C23" s="592"/>
      <c r="D23" s="592"/>
      <c r="E23" s="592"/>
      <c r="F23" s="592"/>
      <c r="G23" s="592"/>
      <c r="H23" s="592"/>
      <c r="T23">
        <v>11</v>
      </c>
    </row>
    <row r="24" spans="1:20">
      <c r="A24" s="965"/>
      <c r="B24" s="592"/>
    </row>
    <row r="25" spans="1:20">
      <c r="A25" s="592"/>
      <c r="B25" s="592"/>
    </row>
    <row r="26" spans="1:20">
      <c r="A26" s="592" t="s">
        <v>738</v>
      </c>
      <c r="B26" s="592"/>
      <c r="C26" s="592"/>
      <c r="D26" s="592"/>
      <c r="E26" s="592"/>
      <c r="F26" s="592"/>
      <c r="G26" s="592"/>
      <c r="H26" s="592"/>
      <c r="I26" s="662"/>
      <c r="J26" s="662"/>
      <c r="T26">
        <v>12</v>
      </c>
    </row>
    <row r="27" spans="1:20">
      <c r="A27" s="965"/>
      <c r="B27" s="592"/>
    </row>
    <row r="28" spans="1:20">
      <c r="A28" s="592"/>
      <c r="B28" s="592"/>
    </row>
    <row r="29" spans="1:20">
      <c r="A29" s="592" t="s">
        <v>1530</v>
      </c>
      <c r="B29" s="592"/>
      <c r="C29" s="592"/>
      <c r="D29" s="592"/>
      <c r="E29" s="592"/>
      <c r="F29" s="592"/>
      <c r="G29" s="592"/>
      <c r="H29" s="592"/>
      <c r="I29" s="592"/>
      <c r="J29" s="662"/>
      <c r="K29" s="592"/>
      <c r="L29" s="662"/>
      <c r="M29" s="592"/>
      <c r="N29" s="662"/>
      <c r="T29">
        <v>16</v>
      </c>
    </row>
    <row r="30" spans="1:20">
      <c r="A30" s="965"/>
      <c r="B30" s="592"/>
    </row>
    <row r="31" spans="1:20">
      <c r="A31" s="592"/>
      <c r="B31" s="592"/>
    </row>
    <row r="32" spans="1:20">
      <c r="A32" s="592" t="s">
        <v>910</v>
      </c>
      <c r="B32" s="592"/>
      <c r="C32" s="592"/>
      <c r="D32" s="592"/>
      <c r="T32">
        <v>18</v>
      </c>
    </row>
    <row r="33" spans="1:20"/>
    <row r="34" spans="1:20"/>
    <row r="35" spans="1:20">
      <c r="A35" s="592" t="s">
        <v>1490</v>
      </c>
      <c r="B35" s="592"/>
      <c r="T35">
        <v>20</v>
      </c>
    </row>
    <row r="36" spans="1:20"/>
    <row r="37" spans="1:20"/>
    <row r="38" spans="1:20">
      <c r="A38" s="592" t="s">
        <v>1040</v>
      </c>
      <c r="B38" s="592"/>
      <c r="T38">
        <v>22</v>
      </c>
    </row>
    <row r="39" spans="1:20"/>
    <row r="40" spans="1:20"/>
    <row r="41" spans="1:20"/>
    <row r="42" spans="1:20"/>
    <row r="43" spans="1:20"/>
    <row r="44" spans="1:20"/>
    <row r="45" spans="1:20"/>
    <row r="46" spans="1:20"/>
    <row r="47" spans="1:20"/>
    <row r="48" spans="1:20"/>
    <row r="49" spans="6:20"/>
    <row r="50" spans="6:20"/>
    <row r="51" spans="6:20"/>
    <row r="52" spans="6:20" hidden="1"/>
    <row r="53" spans="6:20" hidden="1"/>
    <row r="54" spans="6:20" hidden="1"/>
    <row r="55" spans="6:20" hidden="1"/>
    <row r="56" spans="6:20" hidden="1"/>
    <row r="57" spans="6:20" hidden="1"/>
    <row r="58" spans="6:20" hidden="1"/>
    <row r="59" spans="6:20" hidden="1"/>
    <row r="60" spans="6:20" hidden="1"/>
    <row r="61" spans="6:20" hidden="1"/>
    <row r="62" spans="6:20" hidden="1">
      <c r="F62" s="875"/>
      <c r="G62" s="875"/>
      <c r="H62" s="875"/>
      <c r="I62" s="875"/>
      <c r="J62" s="875"/>
      <c r="K62" s="875"/>
      <c r="L62" s="875"/>
      <c r="M62" s="875"/>
      <c r="N62" s="875"/>
      <c r="O62" s="875"/>
      <c r="P62" s="875"/>
      <c r="Q62" s="875"/>
      <c r="R62" s="875"/>
      <c r="S62" s="875"/>
      <c r="T62" s="875"/>
    </row>
    <row r="63" spans="6:20" hidden="1">
      <c r="F63" s="875"/>
      <c r="G63" s="875"/>
      <c r="H63" s="875"/>
      <c r="I63" s="875"/>
      <c r="J63" s="875"/>
      <c r="K63" s="875"/>
      <c r="L63" s="875"/>
      <c r="M63" s="875"/>
      <c r="N63" s="875"/>
      <c r="O63" s="875"/>
      <c r="P63" s="875"/>
      <c r="Q63" s="875"/>
      <c r="R63" s="875"/>
      <c r="S63" s="875"/>
      <c r="T63" s="875"/>
    </row>
  </sheetData>
  <sheetProtection algorithmName="SHA-512" hashValue="9FlRMH90U4oXY4pI2cEBNorlRF8Aiby82v7/uiCEspROOvabdTw5ZhvhnjqdNYfDAyn1/kcU8gDgeHkmO/nksA==" saltValue="eJUnqFVm6GTvHo5lIsZYhA==" spinCount="100000" sheet="1" objects="1" scenarios="1" autoFilter="0"/>
  <mergeCells count="3">
    <mergeCell ref="A6:T7"/>
    <mergeCell ref="A9:T9"/>
    <mergeCell ref="G1:U4"/>
  </mergeCells>
  <hyperlinks>
    <hyperlink ref="A20:D20" location="'Population active'!A1" display="Population active" xr:uid="{00000000-0004-0000-1400-000000000000}"/>
    <hyperlink ref="A17:H17" location="'Marché du travail'!A8" display="Conditions d'emploi et marché du travail" xr:uid="{00000000-0004-0000-1400-000001000000}"/>
    <hyperlink ref="A23:G23" location="Entreprises!A8" display="Caractéristiques des entreprises" xr:uid="{00000000-0004-0000-1400-000002000000}"/>
    <hyperlink ref="A26:J26" location="'Richesse et échanges'!A1" display="Création de richesse et ouverture du territoire" xr:uid="{00000000-0004-0000-1400-000003000000}"/>
    <hyperlink ref="A29:N29" location="E.S.R.I.!A8" display="Enseignement supérieur, recherche et emplois stratégiques" xr:uid="{00000000-0004-0000-1400-000004000000}"/>
    <hyperlink ref="A32:C32" location="Tourisme!A8" display="Tourisme" xr:uid="{00000000-0004-0000-1400-000005000000}"/>
    <hyperlink ref="A35:B35" location="Annexe!A1" display="Annexe" xr:uid="{00000000-0004-0000-1400-000006000000}"/>
    <hyperlink ref="A38:B38" location="Glossaire!A1" display="Glossaire" xr:uid="{00000000-0004-0000-1400-000007000000}"/>
    <hyperlink ref="A9:T9" location="Annexe!A6" display="Pour visualiser les périmètres étudiés dans l'ensemble du document, cliquez ici" xr:uid="{00000000-0004-0000-1400-000008000000}"/>
    <hyperlink ref="A14:H14" location="'Dynamique de l''emploi'!A1" display="Dynamique et spécialisation de l'emploi" xr:uid="{00000000-0004-0000-1400-000009000000}"/>
    <hyperlink ref="A29:L29" location="E.S.R.I.!A1" display="Enseignement supérieur, recherche et emplois stratégiques" xr:uid="{00000000-0004-0000-1400-00000A000000}"/>
    <hyperlink ref="A32:B32" location="Tourisme!A1" display="Tourisme" xr:uid="{00000000-0004-0000-1400-00000B000000}"/>
    <hyperlink ref="A17:I17" location="'Marché du travail'!A1" display="Conditions d'emploi et marché du travail" xr:uid="{00000000-0004-0000-1400-00000C000000}"/>
  </hyperlink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avril 2018</oddHeader>
    <oddFooter>&amp;C&amp;"-,Italique"&amp;8&amp;A&amp;R&amp;8Page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G157"/>
  <sheetViews>
    <sheetView showGridLines="0" showRowColHeaders="0" showRuler="0" view="pageLayout" zoomScale="90" zoomScaleNormal="100" zoomScalePageLayoutView="90" workbookViewId="0">
      <selection activeCell="O140" sqref="O140:R140"/>
    </sheetView>
  </sheetViews>
  <sheetFormatPr baseColWidth="10" defaultColWidth="0" defaultRowHeight="15" zeroHeight="1"/>
  <cols>
    <col min="1" max="20" width="4.85546875" customWidth="1"/>
    <col min="21" max="21" width="1.42578125" hidden="1" customWidth="1"/>
    <col min="22" max="33" width="0" hidden="1" customWidth="1"/>
    <col min="34" max="16384" width="11.42578125" hidden="1"/>
  </cols>
  <sheetData>
    <row r="1" spans="1:21" s="211" customFormat="1" ht="15.75" customHeight="1">
      <c r="A1" s="517"/>
      <c r="B1" s="428"/>
      <c r="C1" s="428"/>
      <c r="D1" s="428"/>
      <c r="E1" s="428"/>
      <c r="F1" s="1105" t="s">
        <v>1039</v>
      </c>
      <c r="G1" s="1105"/>
      <c r="H1" s="1105"/>
      <c r="I1" s="1105"/>
      <c r="J1" s="1105"/>
      <c r="K1" s="1105"/>
      <c r="L1" s="1105"/>
      <c r="M1" s="1105"/>
      <c r="N1" s="1105"/>
      <c r="O1" s="1105"/>
      <c r="P1" s="1105"/>
      <c r="Q1" s="1105"/>
      <c r="R1" s="1105"/>
      <c r="S1" s="1105"/>
      <c r="T1" s="1105"/>
      <c r="U1" s="593"/>
    </row>
    <row r="2" spans="1:21" s="198" customFormat="1" ht="16.7" customHeight="1">
      <c r="A2" s="429"/>
      <c r="B2" s="428"/>
      <c r="C2" s="428"/>
      <c r="D2" s="428"/>
      <c r="E2" s="428"/>
      <c r="F2" s="1105"/>
      <c r="G2" s="1105"/>
      <c r="H2" s="1105"/>
      <c r="I2" s="1105"/>
      <c r="J2" s="1105"/>
      <c r="K2" s="1105"/>
      <c r="L2" s="1105"/>
      <c r="M2" s="1105"/>
      <c r="N2" s="1105"/>
      <c r="O2" s="1105"/>
      <c r="P2" s="1105"/>
      <c r="Q2" s="1105"/>
      <c r="R2" s="1105"/>
      <c r="S2" s="1105"/>
      <c r="T2" s="1105"/>
      <c r="U2" s="593"/>
    </row>
    <row r="3" spans="1:21" s="198" customFormat="1" ht="16.7" customHeight="1">
      <c r="A3" s="430"/>
      <c r="B3" s="428"/>
      <c r="C3" s="428"/>
      <c r="D3" s="428"/>
      <c r="E3" s="428"/>
      <c r="F3" s="1105"/>
      <c r="G3" s="1105"/>
      <c r="H3" s="1105"/>
      <c r="I3" s="1105"/>
      <c r="J3" s="1105"/>
      <c r="K3" s="1105"/>
      <c r="L3" s="1105"/>
      <c r="M3" s="1105"/>
      <c r="N3" s="1105"/>
      <c r="O3" s="1105"/>
      <c r="P3" s="1105"/>
      <c r="Q3" s="1105"/>
      <c r="R3" s="1105"/>
      <c r="S3" s="1105"/>
      <c r="T3" s="1105"/>
      <c r="U3" s="593"/>
    </row>
    <row r="4" spans="1:21" s="198" customFormat="1" ht="16.7" customHeight="1">
      <c r="A4"/>
      <c r="B4"/>
      <c r="C4"/>
      <c r="D4"/>
      <c r="E4"/>
      <c r="F4" s="1105"/>
      <c r="G4" s="1105"/>
      <c r="H4" s="1105"/>
      <c r="I4" s="1105"/>
      <c r="J4" s="1105"/>
      <c r="K4" s="1105"/>
      <c r="L4" s="1105"/>
      <c r="M4" s="1105"/>
      <c r="N4" s="1105"/>
      <c r="O4" s="1105"/>
      <c r="P4" s="1105"/>
      <c r="Q4" s="1105"/>
      <c r="R4" s="1105"/>
      <c r="S4" s="1105"/>
      <c r="T4" s="1105"/>
      <c r="U4" s="593"/>
    </row>
    <row r="5" spans="1:21" s="198" customFormat="1" ht="5.25" customHeight="1">
      <c r="A5"/>
      <c r="B5"/>
      <c r="C5"/>
      <c r="D5"/>
      <c r="E5"/>
      <c r="F5"/>
      <c r="G5"/>
      <c r="H5" s="383"/>
      <c r="I5" s="383"/>
      <c r="J5" s="383"/>
      <c r="K5" s="383"/>
      <c r="L5" s="383"/>
      <c r="M5" s="383"/>
      <c r="N5" s="383"/>
      <c r="O5" s="383"/>
      <c r="P5" s="383"/>
      <c r="Q5" s="383"/>
      <c r="R5" s="383"/>
      <c r="S5" s="383"/>
      <c r="T5" s="383"/>
      <c r="U5" s="213"/>
    </row>
    <row r="6" spans="1:21" s="198" customFormat="1" ht="15" customHeight="1">
      <c r="A6" s="1102" t="s">
        <v>810</v>
      </c>
      <c r="B6" s="1102"/>
      <c r="C6" s="1102"/>
      <c r="D6" s="1102"/>
      <c r="E6" s="1102"/>
      <c r="F6" s="1102"/>
      <c r="G6" s="1102"/>
      <c r="H6" s="1102"/>
      <c r="I6" s="1102"/>
      <c r="J6" s="1102"/>
      <c r="K6" s="1102"/>
      <c r="L6" s="1102"/>
      <c r="M6" s="1102"/>
      <c r="N6" s="1102"/>
      <c r="O6" s="1102"/>
      <c r="P6" s="1102"/>
      <c r="Q6" s="1102"/>
      <c r="R6" s="1102"/>
      <c r="S6" s="1102"/>
      <c r="T6" s="1102"/>
      <c r="U6" s="784"/>
    </row>
    <row r="7" spans="1:21" s="198" customFormat="1" ht="15" customHeight="1">
      <c r="A7" s="1102"/>
      <c r="B7" s="1102"/>
      <c r="C7" s="1102"/>
      <c r="D7" s="1102"/>
      <c r="E7" s="1102"/>
      <c r="F7" s="1102"/>
      <c r="G7" s="1102"/>
      <c r="H7" s="1102"/>
      <c r="I7" s="1102"/>
      <c r="J7" s="1102"/>
      <c r="K7" s="1102"/>
      <c r="L7" s="1102"/>
      <c r="M7" s="1102"/>
      <c r="N7" s="1102"/>
      <c r="O7" s="1102"/>
      <c r="P7" s="1102"/>
      <c r="Q7" s="1102"/>
      <c r="R7" s="1102"/>
      <c r="S7" s="1102"/>
      <c r="T7" s="1102"/>
      <c r="U7" s="784"/>
    </row>
    <row r="8" spans="1:21" ht="9.75" customHeight="1">
      <c r="B8" s="471"/>
      <c r="C8" s="471"/>
      <c r="D8" s="471"/>
      <c r="E8" s="471"/>
      <c r="F8" s="471"/>
      <c r="G8" s="310"/>
      <c r="H8" s="310"/>
      <c r="I8" s="310"/>
    </row>
    <row r="9" spans="1:21" ht="18" customHeight="1">
      <c r="A9" s="1153" t="s">
        <v>1491</v>
      </c>
      <c r="B9" s="1153"/>
      <c r="C9" s="1153"/>
      <c r="D9" s="1153"/>
      <c r="E9" s="1153"/>
      <c r="F9" s="1153"/>
      <c r="G9" s="1153"/>
      <c r="H9" s="1153"/>
      <c r="I9" s="1153"/>
      <c r="J9" s="1153"/>
      <c r="K9" s="1153"/>
      <c r="L9" s="1153"/>
      <c r="M9" s="1153"/>
      <c r="N9" s="1153"/>
      <c r="O9" s="1153"/>
      <c r="P9" s="1153"/>
      <c r="Q9" s="1153"/>
      <c r="R9" s="1153"/>
      <c r="S9" s="1153"/>
      <c r="T9" s="1153"/>
    </row>
    <row r="10" spans="1:21">
      <c r="A10" s="1148" t="s">
        <v>2052</v>
      </c>
      <c r="B10" s="1135"/>
      <c r="C10" s="1135"/>
      <c r="D10" s="1135"/>
      <c r="E10" s="1135"/>
      <c r="F10" s="1135"/>
      <c r="G10" s="1149"/>
      <c r="H10" s="1150">
        <v>291738</v>
      </c>
      <c r="I10" s="1151"/>
      <c r="J10" s="1152"/>
    </row>
    <row r="11" spans="1:21">
      <c r="A11" s="1148" t="s">
        <v>2053</v>
      </c>
      <c r="B11" s="1135"/>
      <c r="C11" s="1135"/>
      <c r="D11" s="1135"/>
      <c r="E11" s="1135"/>
      <c r="F11" s="1135"/>
      <c r="G11" s="1149"/>
      <c r="H11" s="1150">
        <v>1371</v>
      </c>
      <c r="I11" s="1151"/>
      <c r="J11" s="1152"/>
    </row>
    <row r="12" spans="1:21">
      <c r="A12" s="1148" t="s">
        <v>2054</v>
      </c>
      <c r="B12" s="1135"/>
      <c r="C12" s="1135"/>
      <c r="D12" s="1135"/>
      <c r="E12" s="1135"/>
      <c r="F12" s="1135"/>
      <c r="G12" s="1149"/>
      <c r="H12" s="1150">
        <v>8899</v>
      </c>
      <c r="I12" s="1151"/>
      <c r="J12" s="1152"/>
    </row>
    <row r="13" spans="1:21" ht="6.75" customHeight="1"/>
    <row r="14" spans="1:21" s="787" customFormat="1" ht="25.5" customHeight="1">
      <c r="A14" s="1106" t="s">
        <v>1752</v>
      </c>
      <c r="B14" s="1106"/>
      <c r="C14" s="1106"/>
      <c r="D14" s="1106"/>
      <c r="E14" s="1106"/>
      <c r="F14" s="1106"/>
      <c r="G14" s="1106"/>
      <c r="H14" s="1106"/>
      <c r="I14" s="1106"/>
      <c r="J14" s="1106"/>
      <c r="K14" s="1106"/>
      <c r="L14" s="1106"/>
      <c r="M14" s="1106"/>
      <c r="N14" s="1106"/>
      <c r="O14" s="1106"/>
      <c r="P14" s="1106"/>
      <c r="Q14" s="1106"/>
      <c r="R14" s="1106"/>
      <c r="S14" s="1106"/>
      <c r="T14" s="1106"/>
    </row>
    <row r="15" spans="1:21"/>
    <row r="16" spans="1:21"/>
    <row r="17" spans="1:33"/>
    <row r="18" spans="1:33"/>
    <row r="19" spans="1:33"/>
    <row r="20" spans="1:33"/>
    <row r="21" spans="1:33"/>
    <row r="22" spans="1:33"/>
    <row r="23" spans="1:33"/>
    <row r="24" spans="1:33"/>
    <row r="25" spans="1:33"/>
    <row r="26" spans="1:33"/>
    <row r="27" spans="1:33" ht="8.25" customHeight="1"/>
    <row r="28" spans="1:33" ht="15.75" thickBot="1">
      <c r="A28" s="412" t="s">
        <v>1753</v>
      </c>
    </row>
    <row r="29" spans="1:33" ht="16.5" thickTop="1" thickBot="1">
      <c r="A29" s="1011" t="s">
        <v>1077</v>
      </c>
      <c r="B29" s="1012"/>
      <c r="C29" s="1013"/>
      <c r="D29" s="327"/>
      <c r="E29" s="554"/>
      <c r="F29" s="554"/>
      <c r="G29" s="554"/>
      <c r="H29" s="554"/>
      <c r="I29" s="994" t="s">
        <v>61</v>
      </c>
      <c r="J29" s="995"/>
      <c r="K29" s="995"/>
      <c r="L29" s="996"/>
      <c r="M29" s="555"/>
      <c r="N29" s="554"/>
      <c r="O29" s="997" t="s">
        <v>32</v>
      </c>
      <c r="P29" s="998"/>
      <c r="Q29" s="998"/>
      <c r="R29" s="999"/>
      <c r="W29" s="595"/>
      <c r="X29" s="596"/>
      <c r="Y29" s="595"/>
      <c r="Z29" s="595"/>
      <c r="AA29" s="595"/>
      <c r="AB29" s="595"/>
      <c r="AC29" s="595"/>
      <c r="AD29" s="595"/>
      <c r="AE29" s="595"/>
      <c r="AF29" s="595"/>
      <c r="AG29" s="595"/>
    </row>
    <row r="30" spans="1:33" ht="15.75" customHeight="1" thickTop="1">
      <c r="A30" s="405"/>
      <c r="B30" s="405"/>
      <c r="C30" s="405"/>
      <c r="D30" s="405"/>
      <c r="E30" s="405"/>
      <c r="F30" s="1160">
        <v>2014</v>
      </c>
      <c r="G30" s="1161"/>
      <c r="H30" s="1162"/>
      <c r="I30" s="1163" t="s">
        <v>1742</v>
      </c>
      <c r="J30" s="1164"/>
      <c r="K30" s="1165"/>
      <c r="L30" s="327"/>
      <c r="M30" s="327"/>
      <c r="N30" s="1160">
        <v>2014</v>
      </c>
      <c r="O30" s="1166"/>
      <c r="P30" s="1167"/>
      <c r="Q30" s="1168" t="s">
        <v>1742</v>
      </c>
      <c r="R30" s="1169"/>
      <c r="S30" s="1170"/>
      <c r="T30" s="327"/>
      <c r="W30" s="595"/>
      <c r="X30" s="596"/>
      <c r="Y30" s="595"/>
      <c r="Z30" s="595"/>
      <c r="AA30" s="595"/>
      <c r="AB30" s="595"/>
      <c r="AC30" s="595"/>
      <c r="AD30" s="595"/>
      <c r="AE30" s="595"/>
      <c r="AF30" s="595"/>
      <c r="AG30" s="595"/>
    </row>
    <row r="31" spans="1:33">
      <c r="A31" s="1134" t="s">
        <v>595</v>
      </c>
      <c r="B31" s="1135"/>
      <c r="C31" s="1135"/>
      <c r="D31" s="1135"/>
      <c r="E31" s="1135"/>
      <c r="F31" s="1157">
        <f>VLOOKUP($I$29,'D_Ch-2-1'!$B$5:$AF$40,MATCH("Emploi total Exp Princ",'D_Ch-2-1'!$5:$5,0)-1,FALSE)</f>
        <v>517213.62540267658</v>
      </c>
      <c r="G31" s="1158"/>
      <c r="H31" s="1159"/>
      <c r="I31" s="1138">
        <f>VLOOKUP($I$29,'D_Ch-2-1'!$B$5:$AE$40,MATCH("Evol Empl total",'D_Ch-2-1'!$5:$5,0)-1,FALSE)</f>
        <v>9.8049749477545408E-3</v>
      </c>
      <c r="J31" s="1139"/>
      <c r="K31" s="1140"/>
      <c r="L31" s="327"/>
      <c r="M31" s="327"/>
      <c r="N31" s="1017">
        <f>VLOOKUP($O$29,'D_Ch-2-1'!$B$5:$AF$40,MATCH("Emploi total Exp Princ",'D_Ch-2-1'!$5:$5,0)-1,FALSE)</f>
        <v>592241.05285400699</v>
      </c>
      <c r="O31" s="1147"/>
      <c r="P31" s="1016"/>
      <c r="Q31" s="1138">
        <f>VLOOKUP($O$29,'D_Ch-2-1'!$B$5:$AE$40,MATCH("Evol Empl total",'D_Ch-2-1'!$5:$5,0)-1,FALSE)</f>
        <v>1.2361208532027516E-2</v>
      </c>
      <c r="R31" s="1139"/>
      <c r="S31" s="1140"/>
      <c r="T31" s="327"/>
      <c r="W31" s="595"/>
      <c r="X31" s="596"/>
      <c r="Y31" s="595"/>
      <c r="Z31" s="595"/>
      <c r="AA31" s="595"/>
      <c r="AB31" s="595"/>
      <c r="AC31" s="595"/>
      <c r="AD31" s="595"/>
      <c r="AE31" s="595"/>
      <c r="AF31" s="595"/>
      <c r="AG31" s="595"/>
    </row>
    <row r="32" spans="1:33">
      <c r="A32" s="1134" t="s">
        <v>596</v>
      </c>
      <c r="B32" s="1135"/>
      <c r="C32" s="1135"/>
      <c r="D32" s="1135"/>
      <c r="E32" s="1135"/>
      <c r="F32" s="1157">
        <f>VLOOKUP($I$29,'D_Ch-2-1'!$B$5:$AF$40,MATCH("Emploi salarié total Exp Princ",'D_Ch-2-1'!$5:$5,0)-1,FALSE)</f>
        <v>450479.57166090555</v>
      </c>
      <c r="G32" s="1158"/>
      <c r="H32" s="1159"/>
      <c r="I32" s="1138">
        <f>VLOOKUP($I$29,'D_Ch-2-1'!$B$5:$AE$40,MATCH("Evol Empl salarié total",'D_Ch-2-1'!$5:$5,0)-1,FALSE)</f>
        <v>6.5364665524163534E-3</v>
      </c>
      <c r="J32" s="1139"/>
      <c r="K32" s="1140"/>
      <c r="L32" s="327"/>
      <c r="M32" s="327"/>
      <c r="N32" s="1017">
        <f>VLOOKUP($O$29,'D_Ch-2-1'!$B$5:$AF$40,MATCH("Emploi salarié total Exp Princ",'D_Ch-2-1'!$5:$5,0)-1,FALSE)</f>
        <v>519910.11428323353</v>
      </c>
      <c r="O32" s="1147"/>
      <c r="P32" s="1016"/>
      <c r="Q32" s="1138">
        <f>VLOOKUP($O$29,'D_Ch-2-1'!$B$5:$AE$40,MATCH("Evol Empl salarié total",'D_Ch-2-1'!$5:$5,0)-1,FALSE)</f>
        <v>1.0403898442814809E-2</v>
      </c>
      <c r="R32" s="1139"/>
      <c r="S32" s="1140"/>
      <c r="T32" s="327"/>
      <c r="W32" s="596"/>
      <c r="X32" s="596"/>
      <c r="Y32" s="596"/>
      <c r="Z32" s="596"/>
      <c r="AA32" s="596"/>
      <c r="AB32" s="596"/>
      <c r="AC32" s="596"/>
      <c r="AD32" s="596"/>
      <c r="AE32" s="596"/>
      <c r="AF32" s="596"/>
      <c r="AG32" s="596"/>
    </row>
    <row r="33" spans="1:33">
      <c r="A33" s="1134" t="s">
        <v>597</v>
      </c>
      <c r="B33" s="1135"/>
      <c r="C33" s="1135"/>
      <c r="D33" s="1135"/>
      <c r="E33" s="1135"/>
      <c r="F33" s="1157">
        <f>VLOOKUP($I$29,'D_Ch-2-1'!$B$5:$AF$40,MATCH("Emploi salarié privé acoss N",'D_Ch-2-1'!$5:$5,0)-1,FALSE)</f>
        <v>349639</v>
      </c>
      <c r="G33" s="1158"/>
      <c r="H33" s="1159"/>
      <c r="I33" s="1138">
        <f>VLOOKUP($I$29,'D_Ch-2-1'!$B$5:$AE$40,MATCH("Evol Empl salarié privés",'D_Ch-2-1'!$5:$5,0)-1,FALSE)</f>
        <v>1.1308451589810659E-2</v>
      </c>
      <c r="J33" s="1139"/>
      <c r="K33" s="1140"/>
      <c r="L33" s="327"/>
      <c r="M33" s="327"/>
      <c r="N33" s="1017">
        <f>VLOOKUP($O$29,'D_Ch-2-1'!$B$5:$AF$40,MATCH("Emploi salarié privé acoss N",'D_Ch-2-1'!$5:$5,0)-1,FALSE)</f>
        <v>415141</v>
      </c>
      <c r="O33" s="1147"/>
      <c r="P33" s="1016"/>
      <c r="Q33" s="1138">
        <f>VLOOKUP($O$29,'D_Ch-2-1'!$B$5:$AE$40,MATCH("Evol Empl salarié privés",'D_Ch-2-1'!$5:$5,0)-1,FALSE)</f>
        <v>1.5479480992392084E-2</v>
      </c>
      <c r="R33" s="1139"/>
      <c r="S33" s="1140"/>
      <c r="T33" s="327"/>
      <c r="W33" s="596"/>
      <c r="X33" s="596"/>
      <c r="Y33" s="596"/>
      <c r="Z33" s="596"/>
      <c r="AA33" s="596"/>
      <c r="AB33" s="596"/>
      <c r="AC33" s="596"/>
      <c r="AD33" s="596"/>
      <c r="AE33" s="596"/>
      <c r="AF33" s="596"/>
      <c r="AG33" s="596"/>
    </row>
    <row r="34" spans="1:33" ht="12.75" customHeight="1">
      <c r="A34" s="718" t="s">
        <v>1743</v>
      </c>
      <c r="B34" s="327"/>
      <c r="C34" s="327"/>
      <c r="D34" s="327"/>
      <c r="E34" s="327"/>
      <c r="F34" s="327"/>
      <c r="G34" s="327"/>
      <c r="H34" s="327"/>
      <c r="I34" s="327"/>
      <c r="J34" s="327"/>
      <c r="K34" s="327"/>
      <c r="L34" s="327"/>
      <c r="M34" s="327"/>
      <c r="N34" s="327"/>
      <c r="O34" s="327"/>
      <c r="P34" s="327"/>
      <c r="Q34" s="327"/>
      <c r="R34" s="327"/>
      <c r="S34" s="327"/>
      <c r="T34" s="327"/>
      <c r="W34" s="596"/>
      <c r="X34" s="596"/>
      <c r="Y34" s="596"/>
      <c r="Z34" s="596"/>
      <c r="AA34" s="596"/>
      <c r="AB34" s="596"/>
      <c r="AC34" s="596"/>
      <c r="AD34" s="596"/>
      <c r="AE34" s="596"/>
      <c r="AF34" s="596"/>
      <c r="AG34" s="596"/>
    </row>
    <row r="35" spans="1:33">
      <c r="A35" s="1134" t="s">
        <v>592</v>
      </c>
      <c r="B35" s="1135"/>
      <c r="C35" s="1135"/>
      <c r="D35" s="1135"/>
      <c r="E35" s="1135"/>
      <c r="F35" s="411"/>
      <c r="G35" s="1136">
        <f>VLOOKUP($I$29,'D_Ch-2-1'!$B$5:$AE$40,MATCH("Actifs occupés ",'D_Ch-2-1'!$5:$5,0)-1,FALSE)/VLOOKUP($I$29,'D_Ch-2-1'!$B$5:$AE$40,MATCH("Pop 15 - 64 ans",'D_Ch-2-1'!$5:$5,0)-1,FALSE)</f>
        <v>0.63827990117585154</v>
      </c>
      <c r="H35" s="1137"/>
      <c r="I35" s="416"/>
      <c r="J35" s="327"/>
      <c r="K35" s="327"/>
      <c r="L35" s="327"/>
      <c r="M35" s="327"/>
      <c r="N35" s="1141">
        <f>VLOOKUP($O$29,'D_Ch-2-1'!$B$5:$AE$40,MATCH("Actifs occupés ",'D_Ch-2-1'!$5:$5,0)-1,FALSE)/VLOOKUP($O$29,'D_Ch-2-1'!$B$5:$AE$40,MATCH("Pop 15 - 64 ans",'D_Ch-2-1'!$5:$5,0)-1,FALSE)</f>
        <v>0.65422359490900295</v>
      </c>
      <c r="O35" s="1142"/>
      <c r="P35" s="327"/>
      <c r="Q35" s="327"/>
      <c r="R35" s="327"/>
      <c r="S35" s="327"/>
      <c r="T35" s="327"/>
    </row>
    <row r="36" spans="1:33">
      <c r="A36" s="1134" t="s">
        <v>593</v>
      </c>
      <c r="B36" s="1135"/>
      <c r="C36" s="1135"/>
      <c r="D36" s="1135"/>
      <c r="E36" s="1135"/>
      <c r="F36" s="843"/>
      <c r="G36" s="1143">
        <f>VLOOKUP($I$29,'D_Ch-2-1'!$B$5:$AE$40,MATCH("Salaire horaire net moyen",'D_Ch-2-1'!$5:$5,0)-1,FALSE)</f>
        <v>14.189842657349347</v>
      </c>
      <c r="H36" s="1144"/>
      <c r="I36" s="660">
        <f>VLOOKUP($I$29,'D_Ch-2-1'!$B$5:$AG$40,MATCH("Evol Salaire horaire net moyen n-2/n-1",'D_Ch-2-1'!$5:$5,0)-1,FALSE)</f>
        <v>1.2732667906920604E-2</v>
      </c>
      <c r="J36" s="646"/>
      <c r="K36" s="646"/>
      <c r="L36" s="327"/>
      <c r="M36" s="327"/>
      <c r="N36" s="1145">
        <f>VLOOKUP($O$29,'D_Ch-2-1'!$B$5:$AE$40,MATCH("Salaire horaire net moyen",'D_Ch-2-1'!$5:$5,0)-1,FALSE)</f>
        <v>15.37637355190766</v>
      </c>
      <c r="O36" s="1146"/>
      <c r="P36" s="660">
        <f>VLOOKUP($O$29,'D_Ch-2-1'!$B$5:$AG$40,MATCH("Evol Salaire horaire net moyen n-2/n-1",'D_Ch-2-1'!$5:$5,0)-1,FALSE)</f>
        <v>1.6150535357349977E-2</v>
      </c>
      <c r="Q36" s="327"/>
      <c r="R36" s="327"/>
      <c r="S36" s="327"/>
      <c r="T36" s="327"/>
    </row>
    <row r="37" spans="1:33">
      <c r="A37" s="1134" t="s">
        <v>594</v>
      </c>
      <c r="B37" s="1135"/>
      <c r="C37" s="1135"/>
      <c r="D37" s="1135"/>
      <c r="E37" s="1135"/>
      <c r="F37" s="843"/>
      <c r="G37" s="1136">
        <f>VLOOKUP($I$29,'D_Ch-2-1'!$B$5:$AE$40,MATCH("Emploi total Exp Princ",'D_Ch-2-1'!$5:$5,0)-1,FALSE)/VLOOKUP($I$29,'D_Ch-2-1'!$B$5:$AE$40,MATCH("Actifs occupés ",'D_Ch-2-1'!$5:$5,0)-1,FALSE)</f>
        <v>1.0199177954033491</v>
      </c>
      <c r="H37" s="1137"/>
      <c r="I37" s="416"/>
      <c r="J37" s="327"/>
      <c r="K37" s="327"/>
      <c r="L37" s="327"/>
      <c r="M37" s="327"/>
      <c r="N37" s="1141">
        <f>VLOOKUP($O$29,'D_Ch-2-1'!$B$5:$AE$40,MATCH("Emploi total Exp Princ",'D_Ch-2-1'!$5:$5,0)-1,FALSE)/VLOOKUP($O$29,'D_Ch-2-1'!$B$5:$AE$40,MATCH("Actifs occupés ",'D_Ch-2-1'!$5:$5,0)-1,FALSE)</f>
        <v>1.026428227419431</v>
      </c>
      <c r="O37" s="1142"/>
      <c r="P37" s="327"/>
      <c r="Q37" s="327"/>
      <c r="R37" s="327"/>
      <c r="S37" s="327"/>
      <c r="T37" s="327"/>
    </row>
    <row r="38" spans="1:33" ht="7.5" customHeight="1">
      <c r="I38" s="327"/>
      <c r="J38" s="327"/>
      <c r="K38" s="327"/>
      <c r="L38" s="327"/>
      <c r="M38" s="327"/>
      <c r="N38" s="327"/>
      <c r="O38" s="327"/>
      <c r="P38" s="327"/>
      <c r="Q38" s="327"/>
      <c r="R38" s="327"/>
      <c r="S38" s="327"/>
      <c r="T38" s="327"/>
    </row>
    <row r="39" spans="1:33" ht="15.75" thickBot="1">
      <c r="A39" s="412" t="s">
        <v>613</v>
      </c>
      <c r="B39" s="327"/>
      <c r="C39" s="327"/>
      <c r="D39" s="327"/>
      <c r="E39" s="327"/>
      <c r="F39" s="327"/>
      <c r="G39" s="327"/>
      <c r="H39" s="327"/>
      <c r="I39" s="327"/>
      <c r="J39" s="327"/>
      <c r="K39" s="327"/>
      <c r="L39" s="327"/>
      <c r="M39" s="327"/>
      <c r="N39" s="327"/>
      <c r="O39" s="327"/>
      <c r="P39" s="327"/>
      <c r="Q39" s="327"/>
      <c r="R39" s="327"/>
      <c r="S39" s="327"/>
      <c r="T39" s="327"/>
    </row>
    <row r="40" spans="1:33" ht="26.25" customHeight="1" thickTop="1" thickBot="1">
      <c r="A40" s="327"/>
      <c r="B40" s="327"/>
      <c r="C40" s="327"/>
      <c r="D40" s="1119" t="s">
        <v>1685</v>
      </c>
      <c r="E40" s="1119"/>
      <c r="H40" s="1113" t="s">
        <v>1525</v>
      </c>
      <c r="I40" s="1113"/>
      <c r="J40" s="1111" t="s">
        <v>6</v>
      </c>
      <c r="K40" s="1112"/>
      <c r="L40" s="1111" t="s">
        <v>74</v>
      </c>
      <c r="M40" s="1112"/>
      <c r="N40" s="1111" t="s">
        <v>243</v>
      </c>
      <c r="O40" s="1112"/>
      <c r="P40" s="1111" t="s">
        <v>253</v>
      </c>
      <c r="Q40" s="1112"/>
      <c r="R40" s="1111" t="s">
        <v>1406</v>
      </c>
      <c r="S40" s="1112"/>
    </row>
    <row r="41" spans="1:33" s="228" customFormat="1" ht="16.5" thickTop="1" thickBot="1">
      <c r="A41" s="1114" t="s">
        <v>1406</v>
      </c>
      <c r="B41" s="1115"/>
      <c r="C41" s="1116"/>
      <c r="D41" s="1120">
        <f>VLOOKUP($A41,'D_Ch-2-1'!$B$49:$L$98,MATCH("Effectifs_n-1",'D_Ch-2-1'!$49:$49,0)-1,FALSE)</f>
        <v>1370441</v>
      </c>
      <c r="E41" s="1121"/>
      <c r="F41"/>
      <c r="G41"/>
      <c r="H41"/>
      <c r="I41"/>
    </row>
    <row r="42" spans="1:33" s="228" customFormat="1" ht="16.5" thickTop="1" thickBot="1">
      <c r="A42" s="1114" t="s">
        <v>61</v>
      </c>
      <c r="B42" s="1115"/>
      <c r="C42" s="1116"/>
      <c r="D42" s="1117">
        <f>VLOOKUP($A42,'D_Ch-2-1'!$B$49:$L$98,MATCH("Effectifs_n-1",'D_Ch-2-1'!$49:$49,0)-1,FALSE)</f>
        <v>366108</v>
      </c>
      <c r="E42" s="1118"/>
      <c r="F42"/>
      <c r="H42" s="327"/>
      <c r="I42" s="399"/>
      <c r="J42" s="399"/>
      <c r="K42" s="399"/>
      <c r="L42" s="399"/>
      <c r="M42" s="399">
        <v>2009</v>
      </c>
      <c r="N42" s="399">
        <v>2010</v>
      </c>
      <c r="O42" s="399">
        <v>2011</v>
      </c>
      <c r="P42" s="399">
        <v>2012</v>
      </c>
      <c r="Q42" s="399">
        <v>2013</v>
      </c>
      <c r="R42" s="399">
        <v>2014</v>
      </c>
      <c r="S42" s="399">
        <v>2015</v>
      </c>
      <c r="T42" s="426">
        <v>2016</v>
      </c>
    </row>
    <row r="43" spans="1:33" s="228" customFormat="1" ht="16.5" thickTop="1" thickBot="1">
      <c r="A43" s="1114" t="s">
        <v>6</v>
      </c>
      <c r="B43" s="1115"/>
      <c r="C43" s="1116"/>
      <c r="D43" s="1117">
        <f>VLOOKUP($A43,'D_Ch-2-1'!$B$49:$L$98,MATCH("Effectifs_n-1",'D_Ch-2-1'!$49:$49,0)-1,FALSE)</f>
        <v>379375</v>
      </c>
      <c r="E43" s="1118"/>
      <c r="F43"/>
      <c r="H43" s="327"/>
      <c r="I43" s="399" t="str">
        <f>$H$40</f>
        <v>France Métro.</v>
      </c>
      <c r="J43" s="399"/>
      <c r="K43" s="426"/>
      <c r="L43" s="399"/>
      <c r="M43" s="399">
        <f>VLOOKUP($I43,'D_Ch-2-1'!$B$49:$J$98,MATCH("base 100",'D_Ch-2-1'!$49:$49,0)-1,FALSE)</f>
        <v>100</v>
      </c>
      <c r="N43" s="399">
        <f>VLOOKUP($I43,'D_Ch-2-1'!$B$49:$J$98,MATCH("base 100_n-7",'D_Ch-2-1'!$49:$49,0)-1,FALSE)</f>
        <v>100.91958521751235</v>
      </c>
      <c r="O43" s="399">
        <f>VLOOKUP($I43,'D_Ch-2-1'!$B$49:$J$98,MATCH("base 100_n-6",'D_Ch-2-1'!$49:$49,0)-1,FALSE)</f>
        <v>101.60749348224303</v>
      </c>
      <c r="P43" s="399">
        <f>VLOOKUP($I43,'D_Ch-2-1'!$B$49:$J$98,MATCH("base 100_n-5",'D_Ch-2-1'!$49:$49,0)-1,FALSE)</f>
        <v>101.08835565702073</v>
      </c>
      <c r="Q43" s="399">
        <f>VLOOKUP($I43,'D_Ch-2-1'!$B$49:$J$98,MATCH("base 100_n-4",'D_Ch-2-1'!$49:$49,0)-1,FALSE)</f>
        <v>100.74002580013581</v>
      </c>
      <c r="R43" s="399">
        <f>VLOOKUP($I43,'D_Ch-2-1'!$B$49:$J$98,MATCH("base 100_n-3",'D_Ch-2-1'!$49:$49,0)-1,FALSE)</f>
        <v>100.55853394137708</v>
      </c>
      <c r="S43" s="399">
        <f>VLOOKUP($I43,'D_Ch-2-1'!$B$49:$J$98,MATCH("base 100_n-2",'D_Ch-2-1'!$49:$49,0)-1,FALSE)</f>
        <v>101.16595689826696</v>
      </c>
      <c r="T43" s="399">
        <f>VLOOKUP($I43,'D_Ch-2-1'!$B$49:$J$98,MATCH("base 100_n-1",'D_Ch-2-1'!$49:$49,0)-1,FALSE)</f>
        <v>102.39413140321165</v>
      </c>
    </row>
    <row r="44" spans="1:33" s="228" customFormat="1" ht="16.5" thickTop="1" thickBot="1">
      <c r="A44" s="1114" t="s">
        <v>1525</v>
      </c>
      <c r="B44" s="1115"/>
      <c r="C44" s="1116"/>
      <c r="D44" s="1117">
        <f>VLOOKUP($A44,'D_Ch-2-1'!$B$49:$L$98,MATCH("Effectifs_n-1",'D_Ch-2-1'!$49:$49,0)-1,FALSE)</f>
        <v>17538673</v>
      </c>
      <c r="E44" s="1118"/>
      <c r="F44"/>
      <c r="H44" s="327"/>
      <c r="I44" s="399" t="str">
        <f>$J$40</f>
        <v>ZE Bordeaux</v>
      </c>
      <c r="J44" s="399"/>
      <c r="K44" s="426"/>
      <c r="L44" s="399"/>
      <c r="M44" s="399">
        <f>VLOOKUP($I44,'D_Ch-2-1'!$B$49:$J$98,MATCH("base 100",'D_Ch-2-1'!$49:$49,0)-1,FALSE)</f>
        <v>100</v>
      </c>
      <c r="N44" s="399">
        <f>VLOOKUP($I44,'D_Ch-2-1'!$B$49:$J$98,MATCH("base 100_n-7",'D_Ch-2-1'!$49:$49,0)-1,FALSE)</f>
        <v>101.48441178693299</v>
      </c>
      <c r="O44" s="399">
        <f>VLOOKUP($I44,'D_Ch-2-1'!$B$49:$J$98,MATCH("base 100_n-6",'D_Ch-2-1'!$49:$49,0)-1,FALSE)</f>
        <v>103.08101917789108</v>
      </c>
      <c r="P44" s="399">
        <f>VLOOKUP($I44,'D_Ch-2-1'!$B$49:$J$98,MATCH("base 100_n-5",'D_Ch-2-1'!$49:$49,0)-1,FALSE)</f>
        <v>104.16344516076525</v>
      </c>
      <c r="Q44" s="399">
        <f>VLOOKUP($I44,'D_Ch-2-1'!$B$49:$J$98,MATCH("base 100_n-4",'D_Ch-2-1'!$49:$49,0)-1,FALSE)</f>
        <v>104.84650129925997</v>
      </c>
      <c r="R44" s="399">
        <f>VLOOKUP($I44,'D_Ch-2-1'!$B$49:$J$98,MATCH("base 100_n-3",'D_Ch-2-1'!$49:$49,0)-1,FALSE)</f>
        <v>105.45543858017335</v>
      </c>
      <c r="S44" s="399">
        <f>VLOOKUP($I44,'D_Ch-2-1'!$B$49:$J$98,MATCH("base 100_n-2",'D_Ch-2-1'!$49:$49,0)-1,FALSE)</f>
        <v>107.1604629667308</v>
      </c>
      <c r="T44" s="399">
        <f>VLOOKUP($I44,'D_Ch-2-1'!$B$49:$J$98,MATCH("base 100_n-1",'D_Ch-2-1'!$49:$49,0)-1,FALSE)</f>
        <v>110.26996703890804</v>
      </c>
    </row>
    <row r="45" spans="1:33" s="228" customFormat="1" ht="16.5" thickTop="1" thickBot="1">
      <c r="A45" s="1114" t="s">
        <v>114</v>
      </c>
      <c r="B45" s="1115"/>
      <c r="C45" s="1116"/>
      <c r="D45" s="1117">
        <f>VLOOKUP($A45,'D_Ch-2-1'!$B$49:$L$98,MATCH("Effectifs_n-1",'D_Ch-2-1'!$49:$49,0)-1,FALSE)</f>
        <v>424071</v>
      </c>
      <c r="E45" s="1118"/>
      <c r="F45"/>
      <c r="H45" s="327"/>
      <c r="I45" s="399" t="str">
        <f>$L$40</f>
        <v>Aquitaine</v>
      </c>
      <c r="J45" s="399"/>
      <c r="K45" s="426"/>
      <c r="L45" s="399"/>
      <c r="M45" s="399">
        <f>VLOOKUP($I45,'D_Ch-2-1'!$B$49:$J$98,MATCH("base 100",'D_Ch-2-1'!$49:$49,0)-1,FALSE)</f>
        <v>100</v>
      </c>
      <c r="N45" s="399">
        <f>VLOOKUP($I45,'D_Ch-2-1'!$B$49:$J$98,MATCH("base 100_n-7",'D_Ch-2-1'!$49:$49,0)-1,FALSE)</f>
        <v>101.22208305231717</v>
      </c>
      <c r="O45" s="399">
        <f>VLOOKUP($I45,'D_Ch-2-1'!$B$49:$J$98,MATCH("base 100_n-6",'D_Ch-2-1'!$49:$49,0)-1,FALSE)</f>
        <v>102.22089475543565</v>
      </c>
      <c r="P45" s="399">
        <f>VLOOKUP($I45,'D_Ch-2-1'!$B$49:$J$98,MATCH("base 100_n-5",'D_Ch-2-1'!$49:$49,0)-1,FALSE)</f>
        <v>102.23913671837363</v>
      </c>
      <c r="Q45" s="399">
        <f>VLOOKUP($I45,'D_Ch-2-1'!$B$49:$J$98,MATCH("base 100_n-4",'D_Ch-2-1'!$49:$49,0)-1,FALSE)</f>
        <v>102.23682435687446</v>
      </c>
      <c r="R45" s="399">
        <f>VLOOKUP($I45,'D_Ch-2-1'!$B$49:$J$98,MATCH("base 100_n-3",'D_Ch-2-1'!$49:$49,0)-1,FALSE)</f>
        <v>102.37659376304717</v>
      </c>
      <c r="S45" s="399">
        <f>VLOOKUP($I45,'D_Ch-2-1'!$B$49:$J$98,MATCH("base 100_n-2",'D_Ch-2-1'!$49:$49,0)-1,FALSE)</f>
        <v>103.02444037640106</v>
      </c>
      <c r="T45" s="399">
        <f>VLOOKUP($I45,'D_Ch-2-1'!$B$49:$J$98,MATCH("base 100_n-1",'D_Ch-2-1'!$49:$49,0)-1,FALSE)</f>
        <v>105.07203648392587</v>
      </c>
    </row>
    <row r="46" spans="1:33" s="228" customFormat="1" ht="16.5" thickTop="1" thickBot="1">
      <c r="A46" s="1114" t="s">
        <v>47</v>
      </c>
      <c r="B46" s="1115"/>
      <c r="C46" s="1116"/>
      <c r="D46" s="1117">
        <f>VLOOKUP($A46,'D_Ch-2-1'!$B$49:$L$98,MATCH("Effectifs_n-1",'D_Ch-2-1'!$49:$49,0)-1,FALSE)</f>
        <v>175929</v>
      </c>
      <c r="E46" s="1118"/>
      <c r="F46"/>
      <c r="H46" s="327"/>
      <c r="I46" s="426" t="str">
        <f>$N$40</f>
        <v>Rhône</v>
      </c>
      <c r="J46" s="426"/>
      <c r="K46" s="426"/>
      <c r="L46" s="426"/>
      <c r="M46" s="426">
        <f>VLOOKUP($I46,'D_Ch-2-1'!$B$49:$J$98,MATCH("base 100",'D_Ch-2-1'!$49:$49,0)-1,FALSE)</f>
        <v>100</v>
      </c>
      <c r="N46" s="426">
        <f>VLOOKUP($I46,'D_Ch-2-1'!$B$49:$J$98,MATCH("base 100_n-7",'D_Ch-2-1'!$49:$49,0)-1,FALSE)</f>
        <v>101.63826072035171</v>
      </c>
      <c r="O46" s="426">
        <f>VLOOKUP($I46,'D_Ch-2-1'!$B$49:$J$98,MATCH("base 100_n-6",'D_Ch-2-1'!$49:$49,0)-1,FALSE)</f>
        <v>103.33546768522388</v>
      </c>
      <c r="P46" s="426">
        <f>VLOOKUP($I46,'D_Ch-2-1'!$B$49:$J$98,MATCH("base 100_n-5",'D_Ch-2-1'!$49:$49,0)-1,FALSE)</f>
        <v>103.65403162124416</v>
      </c>
      <c r="Q46" s="426">
        <f>VLOOKUP($I46,'D_Ch-2-1'!$B$49:$J$98,MATCH("base 100_n-4",'D_Ch-2-1'!$49:$49,0)-1,FALSE)</f>
        <v>104.0618887902038</v>
      </c>
      <c r="R46" s="426">
        <f>VLOOKUP($I46,'D_Ch-2-1'!$B$49:$J$98,MATCH("base 100_n-3",'D_Ch-2-1'!$49:$49,0)-1,FALSE)</f>
        <v>105.06699375741792</v>
      </c>
      <c r="S46" s="426">
        <f>VLOOKUP($I46,'D_Ch-2-1'!$B$49:$J$98,MATCH("base 100_n-2",'D_Ch-2-1'!$49:$49,0)-1,FALSE)</f>
        <v>106.77707038753582</v>
      </c>
      <c r="T46" s="426">
        <f>VLOOKUP($I46,'D_Ch-2-1'!$B$49:$J$98,MATCH("base 100_n-1",'D_Ch-2-1'!$49:$49,0)-1,FALSE)</f>
        <v>108.5808890237644</v>
      </c>
    </row>
    <row r="47" spans="1:33" s="228" customFormat="1" ht="16.5" thickTop="1" thickBot="1">
      <c r="A47" s="1114" t="s">
        <v>63</v>
      </c>
      <c r="B47" s="1115"/>
      <c r="C47" s="1116"/>
      <c r="D47" s="1117">
        <f>VLOOKUP($A47,'D_Ch-2-1'!$B$49:$L$98,MATCH("Effectifs_n-1",'D_Ch-2-1'!$49:$49,0)-1,FALSE)</f>
        <v>127601</v>
      </c>
      <c r="E47" s="1118"/>
      <c r="F47"/>
      <c r="H47" s="327"/>
      <c r="I47" s="426" t="str">
        <f>$P$40</f>
        <v>AU Marseille - Aix</v>
      </c>
      <c r="J47" s="426"/>
      <c r="K47" s="426"/>
      <c r="L47" s="426"/>
      <c r="M47" s="426">
        <f>VLOOKUP($I47,'D_Ch-2-1'!$B$49:$J$98,MATCH("base 100",'D_Ch-2-1'!$49:$49,0)-1,FALSE)</f>
        <v>100</v>
      </c>
      <c r="N47" s="426">
        <f>VLOOKUP($I47,'D_Ch-2-1'!$B$49:$J$98,MATCH("base 100_n-7",'D_Ch-2-1'!$49:$49,0)-1,FALSE)</f>
        <v>100.55875771071616</v>
      </c>
      <c r="O47" s="426">
        <f>VLOOKUP($I47,'D_Ch-2-1'!$B$49:$J$98,MATCH("base 100_n-6",'D_Ch-2-1'!$49:$49,0)-1,FALSE)</f>
        <v>101.68588961479976</v>
      </c>
      <c r="P47" s="426">
        <f>VLOOKUP($I47,'D_Ch-2-1'!$B$49:$J$98,MATCH("base 100_n-5",'D_Ch-2-1'!$49:$49,0)-1,FALSE)</f>
        <v>101.79828225578642</v>
      </c>
      <c r="Q47" s="426">
        <f>VLOOKUP($I47,'D_Ch-2-1'!$B$49:$J$98,MATCH("base 100_n-4",'D_Ch-2-1'!$49:$49,0)-1,FALSE)</f>
        <v>101.78345684503239</v>
      </c>
      <c r="R47" s="426">
        <f>VLOOKUP($I47,'D_Ch-2-1'!$B$49:$J$98,MATCH("base 100_n-3",'D_Ch-2-1'!$49:$49,0)-1,FALSE)</f>
        <v>102.67959282209706</v>
      </c>
      <c r="S47" s="426">
        <f>VLOOKUP($I47,'D_Ch-2-1'!$B$49:$J$98,MATCH("base 100_n-2",'D_Ch-2-1'!$49:$49,0)-1,FALSE)</f>
        <v>103.71096058644518</v>
      </c>
      <c r="T47" s="426">
        <f>VLOOKUP($I47,'D_Ch-2-1'!$B$49:$J$98,MATCH("base 100_n-1",'D_Ch-2-1'!$49:$49,0)-1,FALSE)</f>
        <v>105.25320399164167</v>
      </c>
    </row>
    <row r="48" spans="1:33" s="228" customFormat="1" ht="16.5" thickTop="1" thickBot="1">
      <c r="A48" s="1114" t="s">
        <v>64</v>
      </c>
      <c r="B48" s="1115"/>
      <c r="C48" s="1116"/>
      <c r="D48" s="1117">
        <f>VLOOKUP($A48,'D_Ch-2-1'!$B$49:$L$98,MATCH("Effectifs_n-1",'D_Ch-2-1'!$49:$49,0)-1,FALSE)</f>
        <v>125760</v>
      </c>
      <c r="E48" s="1118"/>
      <c r="F48"/>
      <c r="H48" s="327"/>
      <c r="I48" s="426" t="str">
        <f>$R$40</f>
        <v>Nouvelle-Aquitaine</v>
      </c>
      <c r="J48" s="426"/>
      <c r="K48" s="426"/>
      <c r="L48" s="426"/>
      <c r="M48" s="426">
        <f>VLOOKUP($I48,'D_Ch-2-1'!$B$49:$J$98,MATCH("base 100",'D_Ch-2-1'!$49:$49,0)-1,FALSE)</f>
        <v>100</v>
      </c>
      <c r="N48" s="426">
        <f>VLOOKUP($I48,'D_Ch-2-1'!$B$49:$J$98,MATCH("base 100_n-7",'D_Ch-2-1'!$49:$49,0)-1,FALSE)</f>
        <v>101.09076542145658</v>
      </c>
      <c r="O48" s="426">
        <f>VLOOKUP($I48,'D_Ch-2-1'!$B$49:$J$98,MATCH("base 100_n-6",'D_Ch-2-1'!$49:$49,0)-1,FALSE)</f>
        <v>101.79280021490555</v>
      </c>
      <c r="P48" s="426">
        <f>VLOOKUP($I48,'D_Ch-2-1'!$B$49:$J$98,MATCH("base 100_n-5",'D_Ch-2-1'!$49:$49,0)-1,FALSE)</f>
        <v>101.47350982227638</v>
      </c>
      <c r="Q48" s="426">
        <f>VLOOKUP($I48,'D_Ch-2-1'!$B$49:$J$98,MATCH("base 100_n-4",'D_Ch-2-1'!$49:$49,0)-1,FALSE)</f>
        <v>101.21707481511912</v>
      </c>
      <c r="R48" s="426">
        <f>VLOOKUP($I48,'D_Ch-2-1'!$B$49:$J$98,MATCH("base 100_n-3",'D_Ch-2-1'!$49:$49,0)-1,FALSE)</f>
        <v>100.87092122798471</v>
      </c>
      <c r="S48" s="426">
        <f>VLOOKUP($I48,'D_Ch-2-1'!$B$49:$J$98,MATCH("base 100_n-2",'D_Ch-2-1'!$49:$49,0)-1,FALSE)</f>
        <v>101.14479112182646</v>
      </c>
      <c r="T48" s="426">
        <f>VLOOKUP($I48,'D_Ch-2-1'!$B$49:$J$98,MATCH("base 100_n-1",'D_Ch-2-1'!$49:$49,0)-1,FALSE)</f>
        <v>102.54713966840792</v>
      </c>
    </row>
    <row r="49" spans="1:21" s="228" customFormat="1" ht="16.5" thickTop="1" thickBot="1">
      <c r="A49" s="1114" t="s">
        <v>49</v>
      </c>
      <c r="B49" s="1115"/>
      <c r="C49" s="1116"/>
      <c r="D49" s="1117">
        <f>VLOOKUP($A49,'D_Ch-2-1'!$B$49:$L$98,MATCH("Effectifs_n-1",'D_Ch-2-1'!$49:$49,0)-1,FALSE)</f>
        <v>167207</v>
      </c>
      <c r="E49" s="1118"/>
      <c r="F49"/>
      <c r="I49" s="194"/>
      <c r="J49" s="194"/>
      <c r="K49" s="194"/>
      <c r="L49" s="194"/>
      <c r="M49" s="194"/>
      <c r="N49" s="194"/>
      <c r="O49" s="194"/>
      <c r="P49" s="194"/>
      <c r="Q49" s="194"/>
      <c r="R49" s="194"/>
      <c r="S49" s="194"/>
      <c r="T49" s="194"/>
    </row>
    <row r="50" spans="1:21" s="228" customFormat="1" ht="16.5" thickTop="1" thickBot="1">
      <c r="A50" s="1114" t="s">
        <v>43</v>
      </c>
      <c r="B50" s="1115"/>
      <c r="C50" s="1116"/>
      <c r="D50" s="1117">
        <f>VLOOKUP($A50,'D_Ch-2-1'!$B$49:$L$98,MATCH("Effectifs_n-1",'D_Ch-2-1'!$49:$49,0)-1,FALSE)</f>
        <v>210415</v>
      </c>
      <c r="E50" s="1118"/>
      <c r="F50"/>
      <c r="G50"/>
      <c r="H50"/>
      <c r="I50"/>
    </row>
    <row r="51" spans="1:21" ht="16.5" thickTop="1" thickBot="1">
      <c r="A51" s="1114" t="s">
        <v>39</v>
      </c>
      <c r="B51" s="1115"/>
      <c r="C51" s="1116"/>
      <c r="D51" s="1117">
        <f>VLOOKUP($A51,'D_Ch-2-1'!$B$49:$L$98,MATCH("Effectifs_n-1",'D_Ch-2-1'!$49:$49,0)-1,FALSE)</f>
        <v>312320</v>
      </c>
      <c r="E51" s="1118"/>
      <c r="J51" s="287"/>
      <c r="K51" s="287"/>
      <c r="L51" s="287"/>
      <c r="M51" s="287"/>
      <c r="N51" s="287"/>
      <c r="O51" s="287"/>
      <c r="P51" s="287"/>
      <c r="Q51" s="287"/>
      <c r="R51" s="287"/>
      <c r="S51" s="287"/>
      <c r="T51" s="287"/>
    </row>
    <row r="52" spans="1:21" ht="6" customHeight="1" thickTop="1">
      <c r="A52" s="778"/>
      <c r="B52" s="778"/>
      <c r="C52" s="778"/>
      <c r="D52" s="779"/>
      <c r="E52" s="779"/>
      <c r="J52" s="287"/>
      <c r="K52" s="287"/>
      <c r="L52" s="287"/>
      <c r="M52" s="287"/>
      <c r="N52" s="287"/>
      <c r="O52" s="287"/>
      <c r="P52" s="287"/>
      <c r="Q52" s="287"/>
      <c r="R52" s="287"/>
      <c r="S52" s="287"/>
      <c r="T52" s="287"/>
      <c r="U52" s="163"/>
    </row>
    <row r="53" spans="1:21" ht="15" customHeight="1">
      <c r="A53" s="195"/>
      <c r="B53" s="196"/>
      <c r="C53" s="197"/>
      <c r="D53" s="197"/>
      <c r="E53" s="197"/>
      <c r="F53" s="1105" t="s">
        <v>1039</v>
      </c>
      <c r="G53" s="1105"/>
      <c r="H53" s="1105"/>
      <c r="I53" s="1105"/>
      <c r="J53" s="1105"/>
      <c r="K53" s="1105"/>
      <c r="L53" s="1105"/>
      <c r="M53" s="1105"/>
      <c r="N53" s="1105"/>
      <c r="O53" s="1105"/>
      <c r="P53" s="1105"/>
      <c r="Q53" s="1105"/>
      <c r="R53" s="1105"/>
      <c r="S53" s="1105"/>
      <c r="T53" s="1105"/>
      <c r="U53" s="593"/>
    </row>
    <row r="54" spans="1:21" ht="15" customHeight="1">
      <c r="A54" s="199"/>
      <c r="B54" s="197"/>
      <c r="C54" s="197"/>
      <c r="D54" s="197"/>
      <c r="E54" s="197"/>
      <c r="F54" s="1105"/>
      <c r="G54" s="1105"/>
      <c r="H54" s="1105"/>
      <c r="I54" s="1105"/>
      <c r="J54" s="1105"/>
      <c r="K54" s="1105"/>
      <c r="L54" s="1105"/>
      <c r="M54" s="1105"/>
      <c r="N54" s="1105"/>
      <c r="O54" s="1105"/>
      <c r="P54" s="1105"/>
      <c r="Q54" s="1105"/>
      <c r="R54" s="1105"/>
      <c r="S54" s="1105"/>
      <c r="T54" s="1105"/>
      <c r="U54" s="593"/>
    </row>
    <row r="55" spans="1:21" ht="15" customHeight="1">
      <c r="A55" s="200"/>
      <c r="B55" s="197"/>
      <c r="C55" s="197"/>
      <c r="D55" s="197"/>
      <c r="E55" s="197"/>
      <c r="F55" s="1105"/>
      <c r="G55" s="1105"/>
      <c r="H55" s="1105"/>
      <c r="I55" s="1105"/>
      <c r="J55" s="1105"/>
      <c r="K55" s="1105"/>
      <c r="L55" s="1105"/>
      <c r="M55" s="1105"/>
      <c r="N55" s="1105"/>
      <c r="O55" s="1105"/>
      <c r="P55" s="1105"/>
      <c r="Q55" s="1105"/>
      <c r="R55" s="1105"/>
      <c r="S55" s="1105"/>
      <c r="T55" s="1105"/>
      <c r="U55" s="593"/>
    </row>
    <row r="56" spans="1:21" ht="15" customHeight="1">
      <c r="F56" s="1105"/>
      <c r="G56" s="1105"/>
      <c r="H56" s="1105"/>
      <c r="I56" s="1105"/>
      <c r="J56" s="1105"/>
      <c r="K56" s="1105"/>
      <c r="L56" s="1105"/>
      <c r="M56" s="1105"/>
      <c r="N56" s="1105"/>
      <c r="O56" s="1105"/>
      <c r="P56" s="1105"/>
      <c r="Q56" s="1105"/>
      <c r="R56" s="1105"/>
      <c r="S56" s="1105"/>
      <c r="T56" s="1105"/>
    </row>
    <row r="57" spans="1:21" ht="6" customHeight="1"/>
    <row r="58" spans="1:21" ht="15" customHeight="1">
      <c r="A58" s="1102" t="s">
        <v>810</v>
      </c>
      <c r="B58" s="1102"/>
      <c r="C58" s="1102"/>
      <c r="D58" s="1102"/>
      <c r="E58" s="1102"/>
      <c r="F58" s="1102"/>
      <c r="G58" s="1102"/>
      <c r="H58" s="1102"/>
      <c r="I58" s="1102"/>
      <c r="J58" s="1102"/>
      <c r="K58" s="1102"/>
      <c r="L58" s="1102"/>
      <c r="M58" s="1102"/>
      <c r="N58" s="1102"/>
      <c r="O58" s="1102"/>
      <c r="P58" s="1102"/>
      <c r="Q58" s="1102"/>
      <c r="R58" s="1102"/>
      <c r="S58" s="1102"/>
      <c r="T58" s="1102"/>
      <c r="U58" s="784"/>
    </row>
    <row r="59" spans="1:21" ht="15.75" customHeight="1">
      <c r="A59" s="1102"/>
      <c r="B59" s="1102"/>
      <c r="C59" s="1102"/>
      <c r="D59" s="1102"/>
      <c r="E59" s="1102"/>
      <c r="F59" s="1102"/>
      <c r="G59" s="1102"/>
      <c r="H59" s="1102"/>
      <c r="I59" s="1102"/>
      <c r="J59" s="1102"/>
      <c r="K59" s="1102"/>
      <c r="L59" s="1102"/>
      <c r="M59" s="1102"/>
      <c r="N59" s="1102"/>
      <c r="O59" s="1102"/>
      <c r="P59" s="1102"/>
      <c r="Q59" s="1102"/>
      <c r="R59" s="1102"/>
      <c r="S59" s="1102"/>
      <c r="T59" s="1102"/>
      <c r="U59" s="784"/>
    </row>
    <row r="60" spans="1:21" ht="4.5" customHeight="1" thickBot="1">
      <c r="U60" s="163"/>
    </row>
    <row r="61" spans="1:21" ht="16.5" thickTop="1" thickBot="1">
      <c r="A61" s="1011" t="s">
        <v>1077</v>
      </c>
      <c r="B61" s="1012"/>
      <c r="C61" s="1013"/>
      <c r="D61" s="327"/>
      <c r="E61" s="554"/>
      <c r="F61" s="554"/>
      <c r="G61" s="554"/>
      <c r="H61" s="554"/>
      <c r="I61" s="994" t="s">
        <v>61</v>
      </c>
      <c r="J61" s="995"/>
      <c r="K61" s="995"/>
      <c r="L61" s="996"/>
      <c r="M61" s="555"/>
      <c r="N61" s="554"/>
      <c r="O61" s="997" t="s">
        <v>32</v>
      </c>
      <c r="P61" s="998"/>
      <c r="Q61" s="998"/>
      <c r="R61" s="999"/>
      <c r="S61" s="554"/>
      <c r="T61" s="205"/>
      <c r="U61" s="163"/>
    </row>
    <row r="62" spans="1:21" ht="15.75" thickTop="1">
      <c r="A62" s="845" t="s">
        <v>1754</v>
      </c>
      <c r="B62" s="413"/>
      <c r="C62" s="413"/>
      <c r="D62" s="413"/>
      <c r="E62" s="413"/>
      <c r="F62" s="879"/>
      <c r="G62" s="879"/>
      <c r="H62" s="879"/>
      <c r="I62" s="879"/>
      <c r="J62" s="879"/>
      <c r="K62" s="879"/>
      <c r="L62" s="880"/>
      <c r="M62" s="873"/>
      <c r="N62" s="873"/>
      <c r="O62" s="873"/>
      <c r="P62" s="873"/>
      <c r="Q62" s="873"/>
      <c r="R62" s="873"/>
      <c r="S62" s="873"/>
      <c r="T62" s="873"/>
    </row>
    <row r="63" spans="1:21" ht="6" customHeight="1">
      <c r="F63" s="875"/>
      <c r="G63" s="875"/>
      <c r="H63" s="875"/>
      <c r="I63" s="875"/>
      <c r="J63" s="875"/>
      <c r="K63" s="875"/>
      <c r="L63" s="875"/>
      <c r="M63" s="875"/>
      <c r="N63" s="875"/>
      <c r="O63" s="875"/>
      <c r="P63" s="875"/>
      <c r="Q63" s="875"/>
      <c r="R63" s="875"/>
      <c r="S63" s="875"/>
      <c r="T63" s="875"/>
    </row>
    <row r="64" spans="1:21" ht="27" customHeight="1">
      <c r="A64" s="508"/>
      <c r="B64" s="508"/>
      <c r="C64" s="508"/>
      <c r="D64" s="508"/>
      <c r="E64" s="1122" t="s">
        <v>1688</v>
      </c>
      <c r="F64" s="1123"/>
      <c r="G64" s="1122" t="s">
        <v>1488</v>
      </c>
      <c r="H64" s="1126"/>
      <c r="I64" s="1123"/>
      <c r="J64" s="1122" t="s">
        <v>1686</v>
      </c>
      <c r="K64" s="1126"/>
      <c r="L64" s="1130"/>
      <c r="M64" s="1132" t="s">
        <v>1688</v>
      </c>
      <c r="N64" s="1123"/>
      <c r="O64" s="1122" t="s">
        <v>1488</v>
      </c>
      <c r="P64" s="1126"/>
      <c r="Q64" s="1123"/>
      <c r="R64" s="1122" t="s">
        <v>1687</v>
      </c>
      <c r="S64" s="1126"/>
      <c r="T64" s="1123"/>
    </row>
    <row r="65" spans="1:20">
      <c r="A65" s="530"/>
      <c r="B65" s="835"/>
      <c r="C65" s="835"/>
      <c r="D65" s="530"/>
      <c r="E65" s="1124"/>
      <c r="F65" s="1125"/>
      <c r="G65" s="1127"/>
      <c r="H65" s="1128"/>
      <c r="I65" s="1129"/>
      <c r="J65" s="1127"/>
      <c r="K65" s="1128"/>
      <c r="L65" s="1131"/>
      <c r="M65" s="1133"/>
      <c r="N65" s="1125"/>
      <c r="O65" s="1127"/>
      <c r="P65" s="1128"/>
      <c r="Q65" s="1129"/>
      <c r="R65" s="1127"/>
      <c r="S65" s="1128"/>
      <c r="T65" s="1129"/>
    </row>
    <row r="66" spans="1:20">
      <c r="A66" s="473" t="s">
        <v>456</v>
      </c>
      <c r="B66" s="474"/>
      <c r="C66" s="474"/>
      <c r="D66" s="474"/>
      <c r="E66" s="1017">
        <f>VLOOKUP($I$61,'D_Ch5-2'!$B$58:$H$107,MATCH("Industrie",'D_Ch5-2'!$B$58:$H$58,0),FALSE)</f>
        <v>44020</v>
      </c>
      <c r="F66" s="1016" t="e">
        <f>VLOOKUP($I$8,'D_Ch5-2'!$B$58:$H$107,MATCH("Agriculture",'D_Ch5-2'!$B$58:$H$58,0),FALSE)</f>
        <v>#N/A</v>
      </c>
      <c r="G66" s="1018">
        <f>VLOOKUP($I$61,'D_Ch5-2'!$B$58:$O$107,MATCH("% Industrie",'D_Ch5-2'!$B$58:$O$58,0),FALSE)</f>
        <v>0.12023774405366722</v>
      </c>
      <c r="H66" s="1019"/>
      <c r="I66" s="1043"/>
      <c r="J66" s="1022">
        <f>VLOOKUP($I$61,'D_Ch5-2'!$B$114:$O$163,MATCH("MA Industrie",'D_Ch5-2'!$B$114:$O$114,0),FALSE)</f>
        <v>-7.1515627331546921E-4</v>
      </c>
      <c r="K66" s="1023"/>
      <c r="L66" s="1023"/>
      <c r="M66" s="1015">
        <f>VLOOKUP($O$61,'D_Ch5-2'!$B$58:$H$107,MATCH("Industrie",'D_Ch5-2'!$B$58:$H$58,0),FALSE)</f>
        <v>73058</v>
      </c>
      <c r="N66" s="1016" t="e">
        <f>VLOOKUP($I$8,'D_Ch5-2'!$B$58:$H$107,MATCH("Agriculture",'D_Ch5-2'!$B$58:$H$58,0),FALSE)</f>
        <v>#N/A</v>
      </c>
      <c r="O66" s="1018">
        <f>VLOOKUP($O$61,'D_Ch5-2'!$B$58:$O$107,MATCH("% Industrie",'D_Ch5-2'!$B$58:$O$58,0),FALSE)</f>
        <v>0.16756345154380026</v>
      </c>
      <c r="P66" s="1019"/>
      <c r="Q66" s="1019"/>
      <c r="R66" s="1022">
        <f>VLOOKUP($O$61,'D_Ch5-2'!$B$114:$O$163,MATCH("MA Industrie",'D_Ch5-2'!$B$114:$O$114,0),FALSE)</f>
        <v>1.7919357869465018E-2</v>
      </c>
      <c r="S66" s="1023"/>
      <c r="T66" s="1108"/>
    </row>
    <row r="67" spans="1:20">
      <c r="A67" s="473" t="s">
        <v>277</v>
      </c>
      <c r="B67" s="474"/>
      <c r="C67" s="474"/>
      <c r="D67" s="474"/>
      <c r="E67" s="1017">
        <f>VLOOKUP($I$61,'D_Ch5-2'!$B$58:$H$107,MATCH("Construction",'D_Ch5-2'!$B$58:$H$58,0),FALSE)</f>
        <v>29888</v>
      </c>
      <c r="F67" s="1016" t="e">
        <f>VLOOKUP($I$8,'D_Ch5-2'!$B$58:$H$107,MATCH("Agriculture",'D_Ch5-2'!$B$58:$H$58,0),FALSE)</f>
        <v>#N/A</v>
      </c>
      <c r="G67" s="1018">
        <f>VLOOKUP($I$61,'D_Ch5-2'!$B$58:$O$107,MATCH("% Construction",'D_Ch5-2'!$B$58:$O$58,0),FALSE)</f>
        <v>8.1637112546024668E-2</v>
      </c>
      <c r="H67" s="1019"/>
      <c r="I67" s="1043"/>
      <c r="J67" s="1022">
        <f>VLOOKUP($I$61,'D_Ch5-2'!$B$114:$O$163,MATCH("MA Construction",'D_Ch5-2'!$B$114:$O$114,0),FALSE)</f>
        <v>4.3675269822164133E-3</v>
      </c>
      <c r="K67" s="1023"/>
      <c r="L67" s="1023"/>
      <c r="M67" s="1015">
        <f>VLOOKUP($O$61,'D_Ch5-2'!$B$58:$H$107,MATCH("Construction",'D_Ch5-2'!$B$58:$H$58,0),FALSE)</f>
        <v>32077</v>
      </c>
      <c r="N67" s="1016" t="e">
        <f>VLOOKUP($I$8,'D_Ch5-2'!$B$58:$H$107,MATCH("Agriculture",'D_Ch5-2'!$B$58:$H$58,0),FALSE)</f>
        <v>#N/A</v>
      </c>
      <c r="O67" s="1018">
        <f>VLOOKUP($O$61,'D_Ch5-2'!$B$58:$O$107,MATCH("% Construction",'D_Ch5-2'!$B$58:$O$58,0),FALSE)</f>
        <v>7.3570763436864972E-2</v>
      </c>
      <c r="P67" s="1019"/>
      <c r="Q67" s="1019"/>
      <c r="R67" s="1022">
        <f>VLOOKUP($O$61,'D_Ch5-2'!$B$114:$O$163,MATCH("MA Construction",'D_Ch5-2'!$B$114:$O$114,0),FALSE)</f>
        <v>-5.0107387522612011E-3</v>
      </c>
      <c r="S67" s="1023"/>
      <c r="T67" s="1108"/>
    </row>
    <row r="68" spans="1:20">
      <c r="A68" s="473" t="s">
        <v>455</v>
      </c>
      <c r="B68" s="474"/>
      <c r="C68" s="474"/>
      <c r="D68" s="474"/>
      <c r="E68" s="1017">
        <f>VLOOKUP($I$61,'D_Ch5-2'!$B$58:$H$107,MATCH("Commerce",'D_Ch5-2'!$B$58:$H$58,0),FALSE)</f>
        <v>62909</v>
      </c>
      <c r="F68" s="1016" t="e">
        <f>VLOOKUP($I$8,'D_Ch5-2'!$B$58:$H$107,MATCH("Agriculture",'D_Ch5-2'!$B$58:$H$58,0),FALSE)</f>
        <v>#N/A</v>
      </c>
      <c r="G68" s="1018">
        <f>VLOOKUP($I$61,'D_Ch5-2'!$B$58:$O$107,MATCH("% Commerce",'D_Ch5-2'!$B$58:$O$58,0),FALSE)</f>
        <v>0.17183180919291574</v>
      </c>
      <c r="H68" s="1019"/>
      <c r="I68" s="1043"/>
      <c r="J68" s="1022">
        <f>VLOOKUP($I$61,'D_Ch5-2'!$B$114:$O$163,MATCH("MA Commerce",'D_Ch5-2'!$B$114:$O$114,0),FALSE)</f>
        <v>9.9689222027719033E-3</v>
      </c>
      <c r="K68" s="1023"/>
      <c r="L68" s="1023"/>
      <c r="M68" s="1015">
        <f>VLOOKUP($O$61,'D_Ch5-2'!$B$58:$H$107,MATCH("Commerce",'D_Ch5-2'!$B$58:$H$58,0),FALSE)</f>
        <v>61266</v>
      </c>
      <c r="N68" s="1016" t="e">
        <f>VLOOKUP($I$8,'D_Ch5-2'!$B$58:$H$107,MATCH("Agriculture",'D_Ch5-2'!$B$58:$H$58,0),FALSE)</f>
        <v>#N/A</v>
      </c>
      <c r="O68" s="1018">
        <f>VLOOKUP($O$61,'D_Ch5-2'!$B$58:$O$107,MATCH("% Commerce",'D_Ch5-2'!$B$58:$O$58,0),FALSE)</f>
        <v>0.14051770404722913</v>
      </c>
      <c r="P68" s="1019"/>
      <c r="Q68" s="1019"/>
      <c r="R68" s="1022">
        <f>VLOOKUP($O$61,'D_Ch5-2'!$B$114:$O$163,MATCH("MA Commerce",'D_Ch5-2'!$B$114:$O$114,0),FALSE)</f>
        <v>9.2595979198559254E-3</v>
      </c>
      <c r="S68" s="1023"/>
      <c r="T68" s="1108"/>
    </row>
    <row r="69" spans="1:20">
      <c r="A69" s="473" t="s">
        <v>457</v>
      </c>
      <c r="B69" s="474"/>
      <c r="C69" s="474"/>
      <c r="D69" s="474"/>
      <c r="E69" s="1017">
        <f>VLOOKUP($I$61,'D_Ch5-2'!$B$58:$H$107,MATCH("Service",'D_Ch5-2'!$B$58:$H$58,0),FALSE)</f>
        <v>217838</v>
      </c>
      <c r="F69" s="1016" t="e">
        <f>VLOOKUP($I$8,'D_Ch5-2'!$B$58:$H$107,MATCH("Agriculture",'D_Ch5-2'!$B$58:$H$58,0),FALSE)</f>
        <v>#N/A</v>
      </c>
      <c r="G69" s="1018">
        <f>VLOOKUP($I$61,'D_Ch5-2'!$B$58:$O$107,MATCH("% Service",'D_Ch5-2'!$B$58:$O$58,0),FALSE)</f>
        <v>0.59501021556480604</v>
      </c>
      <c r="H69" s="1019"/>
      <c r="I69" s="1043"/>
      <c r="J69" s="1022">
        <f>VLOOKUP($I$61,'D_Ch5-2'!$B$114:$O$163,MATCH("MA Service",'D_Ch5-2'!$B$114:$O$114,0),FALSE)</f>
        <v>2.1257146959092324E-2</v>
      </c>
      <c r="K69" s="1023"/>
      <c r="L69" s="1023"/>
      <c r="M69" s="1015">
        <f>VLOOKUP($O$61,'D_Ch5-2'!$B$58:$H$107,MATCH("Service",'D_Ch5-2'!$B$58:$H$58,0),FALSE)</f>
        <v>256722</v>
      </c>
      <c r="N69" s="1016" t="e">
        <f>VLOOKUP($I$8,'D_Ch5-2'!$B$58:$H$107,MATCH("Agriculture",'D_Ch5-2'!$B$58:$H$58,0),FALSE)</f>
        <v>#N/A</v>
      </c>
      <c r="O69" s="1018">
        <f>VLOOKUP($O$61,'D_Ch5-2'!$B$58:$O$107,MATCH("% Service",'D_Ch5-2'!$B$58:$O$58,0),FALSE)</f>
        <v>0.58880922564575389</v>
      </c>
      <c r="P69" s="1019"/>
      <c r="Q69" s="1019"/>
      <c r="R69" s="1022">
        <f>VLOOKUP($O$61,'D_Ch5-2'!$B$114:$O$163,MATCH("MA Service",'D_Ch5-2'!$B$114:$O$114,0),FALSE)</f>
        <v>2.440899242096398E-2</v>
      </c>
      <c r="S69" s="1023"/>
      <c r="T69" s="1108"/>
    </row>
    <row r="70" spans="1:20">
      <c r="A70" s="473" t="s">
        <v>1181</v>
      </c>
      <c r="B70" s="474"/>
      <c r="C70" s="474"/>
      <c r="D70" s="474"/>
      <c r="E70" s="1017">
        <f>VLOOKUP($I$61,'D_Ch5-2'!$B$58:$H$107,MATCH("Support service public",'D_Ch5-2'!$B$58:$H$58,0),FALSE)</f>
        <v>11453</v>
      </c>
      <c r="F70" s="1016" t="e">
        <f>VLOOKUP($I$8,'D_Ch5-2'!$B$58:$H$107,MATCH("Agriculture",'D_Ch5-2'!$B$58:$H$58,0),FALSE)</f>
        <v>#N/A</v>
      </c>
      <c r="G70" s="1020">
        <f>VLOOKUP($I$61,'D_Ch5-2'!$B$58:$O$107,MATCH("%Support service public",'D_Ch5-2'!$B$58:$O$58,0),FALSE)</f>
        <v>3.1283118642586344E-2</v>
      </c>
      <c r="H70" s="1021"/>
      <c r="I70" s="1027"/>
      <c r="J70" s="1024">
        <f>VLOOKUP($I$61,'D_Ch5-2'!$B$114:$O$163,MATCH("MA Support service public",'D_Ch5-2'!$B$114:$O$114,0),FALSE)</f>
        <v>1.1254510050482315E-2</v>
      </c>
      <c r="K70" s="1025"/>
      <c r="L70" s="1026"/>
      <c r="M70" s="1015">
        <f>VLOOKUP($O$61,'D_Ch5-2'!$B$58:$H$107,MATCH("Support service public",'D_Ch5-2'!$B$58:$H$58,0),FALSE)</f>
        <v>12879</v>
      </c>
      <c r="N70" s="1016" t="e">
        <f>VLOOKUP($I$8,'D_Ch5-2'!$B$58:$H$107,MATCH("Agriculture",'D_Ch5-2'!$B$58:$H$58,0),FALSE)</f>
        <v>#N/A</v>
      </c>
      <c r="O70" s="1020">
        <f>VLOOKUP($O$61,'D_Ch5-2'!$B$58:$O$107,MATCH("%Support service public",'D_Ch5-2'!$B$58:$O$58,0),FALSE)</f>
        <v>2.9538855326351712E-2</v>
      </c>
      <c r="P70" s="1021"/>
      <c r="Q70" s="1021"/>
      <c r="R70" s="1024">
        <f>VLOOKUP($O$61,'D_Ch5-2'!$B$114:$O$163,MATCH("MA Support service public",'D_Ch5-2'!$B$114:$O$114,0),FALSE)</f>
        <v>5.1399510189252861E-3</v>
      </c>
      <c r="S70" s="1025"/>
      <c r="T70" s="1107"/>
    </row>
    <row r="71" spans="1:20">
      <c r="A71" s="510" t="s">
        <v>1142</v>
      </c>
      <c r="B71" s="310"/>
      <c r="C71" s="511"/>
      <c r="D71" s="511"/>
      <c r="E71" s="512"/>
      <c r="F71" s="512"/>
      <c r="G71" s="513"/>
      <c r="H71" s="513"/>
      <c r="I71" s="513"/>
      <c r="J71" s="513"/>
      <c r="K71" s="513"/>
      <c r="L71" s="513"/>
      <c r="M71" s="512"/>
      <c r="N71" s="512"/>
      <c r="O71" s="514"/>
      <c r="P71" s="514"/>
      <c r="Q71" s="514"/>
      <c r="R71" s="513"/>
      <c r="S71" s="513"/>
      <c r="T71" s="513"/>
    </row>
    <row r="72" spans="1:20" ht="5.25" customHeight="1">
      <c r="A72" s="780"/>
      <c r="B72" s="310"/>
      <c r="C72" s="511"/>
      <c r="D72" s="511"/>
      <c r="E72" s="512"/>
      <c r="F72" s="512"/>
      <c r="G72" s="513"/>
      <c r="H72" s="513"/>
      <c r="I72" s="513"/>
      <c r="J72" s="513"/>
      <c r="K72" s="513"/>
      <c r="L72" s="513"/>
      <c r="M72" s="512"/>
      <c r="N72" s="512"/>
      <c r="O72" s="514"/>
      <c r="P72" s="514"/>
      <c r="Q72" s="514"/>
      <c r="R72" s="513"/>
      <c r="S72" s="513"/>
      <c r="T72" s="513"/>
    </row>
    <row r="73" spans="1:20">
      <c r="A73" s="310"/>
      <c r="B73" s="560"/>
      <c r="C73" s="560"/>
      <c r="D73" s="560"/>
      <c r="E73" s="585"/>
      <c r="F73" s="1046" t="str">
        <f>I61</f>
        <v>AU Bordeaux</v>
      </c>
      <c r="G73" s="1046"/>
      <c r="H73" s="1046"/>
      <c r="I73" s="1046"/>
      <c r="J73" s="1046"/>
      <c r="K73" s="1046"/>
      <c r="L73" s="743"/>
      <c r="M73" s="743"/>
      <c r="N73" s="1047" t="str">
        <f>O61</f>
        <v>AU Toulouse</v>
      </c>
      <c r="O73" s="1047"/>
      <c r="P73" s="1047"/>
      <c r="Q73" s="1047"/>
      <c r="R73" s="1047"/>
      <c r="S73" s="1047"/>
      <c r="T73" s="585"/>
    </row>
    <row r="74" spans="1:20" ht="5.25" customHeight="1"/>
    <row r="75" spans="1:20">
      <c r="A75" s="845" t="s">
        <v>1755</v>
      </c>
      <c r="B75" s="845"/>
      <c r="C75" s="845"/>
      <c r="D75" s="845"/>
      <c r="E75" s="845"/>
      <c r="F75" s="845"/>
      <c r="G75" s="845"/>
      <c r="H75" s="845"/>
      <c r="J75" s="310"/>
      <c r="K75" s="310"/>
      <c r="L75" s="460" t="s">
        <v>1360</v>
      </c>
      <c r="M75" s="460"/>
      <c r="N75" s="460"/>
      <c r="O75" s="460"/>
      <c r="P75" s="460"/>
      <c r="Q75" s="460"/>
      <c r="R75" s="460"/>
      <c r="S75" s="399"/>
      <c r="T75" s="399"/>
    </row>
    <row r="76" spans="1:20" ht="36" customHeight="1">
      <c r="A76" s="1154" t="s">
        <v>1248</v>
      </c>
      <c r="B76" s="1155"/>
      <c r="C76" s="1155"/>
      <c r="D76" s="1155"/>
      <c r="E76" s="1155"/>
      <c r="F76" s="1155"/>
      <c r="G76" s="1155"/>
      <c r="H76" s="1155"/>
      <c r="I76" s="1155"/>
      <c r="J76" s="1156"/>
      <c r="K76" s="1109" t="s">
        <v>1487</v>
      </c>
      <c r="L76" s="1110"/>
      <c r="M76" s="1109" t="s">
        <v>1756</v>
      </c>
      <c r="N76" s="1110"/>
      <c r="O76" s="504"/>
      <c r="P76" s="565"/>
      <c r="Q76" s="1109" t="s">
        <v>1487</v>
      </c>
      <c r="R76" s="1110"/>
      <c r="S76" s="1109" t="s">
        <v>1757</v>
      </c>
      <c r="T76" s="1110"/>
    </row>
    <row r="77" spans="1:20">
      <c r="A77" s="505" t="s">
        <v>454</v>
      </c>
      <c r="B77" s="506"/>
      <c r="C77" s="506"/>
      <c r="D77" s="506"/>
      <c r="E77" s="506"/>
      <c r="F77" s="782"/>
      <c r="G77" s="474"/>
      <c r="H77" s="397"/>
      <c r="I77" s="397"/>
      <c r="J77" s="398"/>
      <c r="K77" s="1017">
        <f>VLOOKUP($I$61,'D_Ch-5-1'!$B$58:$O$107,MATCH("Agriculture",'D_Ch-5-1'!$B$58:$O$58,0),FALSE)</f>
        <v>8290</v>
      </c>
      <c r="L77" s="1016"/>
      <c r="M77" s="1044">
        <f>VLOOKUP($I$61,'D_Ch-5-1'!$B$109:$O$158,MATCH("Agriculture",'D_Ch-5-1'!$B$58:$O$58,0),FALSE)</f>
        <v>1.8194547780989442E-2</v>
      </c>
      <c r="N77" s="1045"/>
      <c r="O77" s="310"/>
      <c r="P77" s="310"/>
      <c r="Q77" s="1055">
        <f>VLOOKUP($O$61,'D_Ch-5-1'!$B$58:$O$107,MATCH("Agriculture",'D_Ch-5-1'!$B$58:$O$58,0),FALSE)</f>
        <v>1536</v>
      </c>
      <c r="R77" s="1056"/>
      <c r="S77" s="1044">
        <f>VLOOKUP($O$61,'D_Ch-5-1'!$B$109:$O$158,MATCH("Agriculture",'D_Ch-5-1'!$B$58:$O$58,0),FALSE)</f>
        <v>2.9407991851535592E-3</v>
      </c>
      <c r="T77" s="1045"/>
    </row>
    <row r="78" spans="1:20">
      <c r="A78" s="505" t="s">
        <v>456</v>
      </c>
      <c r="B78" s="506"/>
      <c r="C78" s="506"/>
      <c r="D78" s="506"/>
      <c r="E78" s="506"/>
      <c r="F78" s="506"/>
      <c r="G78" s="474"/>
      <c r="H78" s="397"/>
      <c r="I78" s="397"/>
      <c r="J78" s="398"/>
      <c r="K78" s="1017">
        <f>VLOOKUP($I$61,'D_Ch-5-1'!$B$58:$O$107,MATCH("Industries",'D_Ch-5-1'!$B$58:$O$58,0),FALSE)</f>
        <v>45868</v>
      </c>
      <c r="L78" s="1016"/>
      <c r="M78" s="1044">
        <f>VLOOKUP($I$61,'D_Ch-5-1'!$B$109:$O$158,MATCH("Industries",'D_Ch-5-1'!$B$58:$O$58,0),FALSE)</f>
        <v>0.10066918185988223</v>
      </c>
      <c r="N78" s="1045"/>
      <c r="O78" s="310"/>
      <c r="P78" s="310"/>
      <c r="Q78" s="1017">
        <f>VLOOKUP($O$61,'D_Ch-5-1'!$B$58:$O$107,MATCH("Industries",'D_Ch-5-1'!$B$58:$O$58,0),FALSE)</f>
        <v>72229</v>
      </c>
      <c r="R78" s="1016"/>
      <c r="S78" s="1044">
        <f>VLOOKUP($O$61,'D_Ch-5-1'!$B$109:$O$158,MATCH("Industries",'D_Ch-5-1'!$B$58:$O$58,0),FALSE)</f>
        <v>0.13828840126592215</v>
      </c>
      <c r="T78" s="1045"/>
    </row>
    <row r="79" spans="1:20">
      <c r="A79" s="505" t="s">
        <v>277</v>
      </c>
      <c r="B79" s="506"/>
      <c r="C79" s="506"/>
      <c r="D79" s="506"/>
      <c r="E79" s="506"/>
      <c r="F79" s="506"/>
      <c r="G79" s="474"/>
      <c r="H79" s="397"/>
      <c r="I79" s="397"/>
      <c r="J79" s="398"/>
      <c r="K79" s="1017">
        <f>VLOOKUP($I$61,'D_Ch-5-1'!$B$58:$O$107,MATCH("Construction",'D_Ch-5-1'!$B$58:$O$58,0),FALSE)</f>
        <v>28825</v>
      </c>
      <c r="L79" s="1016"/>
      <c r="M79" s="1044">
        <f>VLOOKUP($I$61,'D_Ch-5-1'!$B$109:$O$158,MATCH("Construction",'D_Ch-5-1'!$B$58:$O$58,0),FALSE)</f>
        <v>6.3263913122680412E-2</v>
      </c>
      <c r="N79" s="1045"/>
      <c r="O79" s="310"/>
      <c r="P79" s="310"/>
      <c r="Q79" s="1017">
        <f>VLOOKUP($O$61,'D_Ch-5-1'!$B$58:$O$107,MATCH("Construction",'D_Ch-5-1'!$B$58:$O$58,0),FALSE)</f>
        <v>31434</v>
      </c>
      <c r="R79" s="1016"/>
      <c r="S79" s="1044">
        <f>VLOOKUP($O$61,'D_Ch-5-1'!$B$109:$O$158,MATCH("Construction",'D_Ch-5-1'!$B$58:$O$58,0),FALSE)</f>
        <v>6.0182995824294906E-2</v>
      </c>
      <c r="T79" s="1045"/>
    </row>
    <row r="80" spans="1:20">
      <c r="A80" s="505" t="s">
        <v>811</v>
      </c>
      <c r="B80" s="506"/>
      <c r="C80" s="506"/>
      <c r="D80" s="506"/>
      <c r="E80" s="506"/>
      <c r="F80" s="506"/>
      <c r="G80" s="474"/>
      <c r="H80" s="397"/>
      <c r="I80" s="397"/>
      <c r="J80" s="398"/>
      <c r="K80" s="1017">
        <f>VLOOKUP($I$61,'D_Ch-5-1'!$B$58:$O$107,MATCH("Commerce ; répar auto,moto",'D_Ch-5-1'!$B$58:$O$58,0),FALSE)</f>
        <v>61942</v>
      </c>
      <c r="L80" s="1016"/>
      <c r="M80" s="1044">
        <f>VLOOKUP($I$61,'D_Ch-5-1'!$B$109:$O$158,MATCH("Commerce ; répar auto,moto",'D_Ch-5-1'!$B$58:$O$58,0),FALSE)</f>
        <v>0.13594772963209265</v>
      </c>
      <c r="N80" s="1045"/>
      <c r="O80" s="310"/>
      <c r="P80" s="310"/>
      <c r="Q80" s="1017">
        <f>VLOOKUP($O$61,'D_Ch-5-1'!$B$58:$O$107,MATCH("Commerce ; répar auto,moto",'D_Ch-5-1'!$B$58:$O$58,0),FALSE)</f>
        <v>60509</v>
      </c>
      <c r="R80" s="1016"/>
      <c r="S80" s="1044">
        <f>VLOOKUP($O$61,'D_Ch-5-1'!$B$109:$O$158,MATCH("Commerce ; répar auto,moto",'D_Ch-5-1'!$B$58:$O$58,0),FALSE)</f>
        <v>0.11584949081670359</v>
      </c>
      <c r="T80" s="1045"/>
    </row>
    <row r="81" spans="1:20">
      <c r="A81" s="505" t="s">
        <v>279</v>
      </c>
      <c r="B81" s="506"/>
      <c r="C81" s="506"/>
      <c r="D81" s="506"/>
      <c r="E81" s="506"/>
      <c r="F81" s="506"/>
      <c r="G81" s="474"/>
      <c r="H81" s="397"/>
      <c r="I81" s="397"/>
      <c r="J81" s="398"/>
      <c r="K81" s="1017">
        <f>VLOOKUP($I$61,'D_Ch-5-1'!$B$58:$O$107,MATCH("Transports et entreposage",'D_Ch-5-1'!$B$58:$O$58,0),FALSE)</f>
        <v>30535</v>
      </c>
      <c r="L81" s="1016"/>
      <c r="M81" s="1044">
        <f>VLOOKUP($I$61,'D_Ch-5-1'!$B$109:$O$158,MATCH("Transports et entreposage",'D_Ch-5-1'!$B$58:$O$58,0),FALSE)</f>
        <v>6.701695011972407E-2</v>
      </c>
      <c r="N81" s="1045"/>
      <c r="O81" s="310"/>
      <c r="P81" s="310"/>
      <c r="Q81" s="1017">
        <f>VLOOKUP($O$61,'D_Ch-5-1'!$B$58:$O$107,MATCH("Transports et entreposage",'D_Ch-5-1'!$B$58:$O$58,0),FALSE)</f>
        <v>31066</v>
      </c>
      <c r="R81" s="1016"/>
      <c r="S81" s="1044">
        <f>VLOOKUP($O$61,'D_Ch-5-1'!$B$109:$O$158,MATCH("Transports et entreposage",'D_Ch-5-1'!$B$58:$O$58,0),FALSE)</f>
        <v>5.9478429352851865E-2</v>
      </c>
      <c r="T81" s="1045"/>
    </row>
    <row r="82" spans="1:20">
      <c r="A82" s="505" t="s">
        <v>280</v>
      </c>
      <c r="B82" s="506"/>
      <c r="C82" s="506"/>
      <c r="D82" s="506"/>
      <c r="E82" s="506"/>
      <c r="F82" s="506"/>
      <c r="G82" s="474"/>
      <c r="H82" s="397"/>
      <c r="I82" s="397"/>
      <c r="J82" s="398"/>
      <c r="K82" s="1017">
        <f>VLOOKUP($I$61,'D_Ch-5-1'!$B$58:$O$107,MATCH("Hébergement et restauration",'D_Ch-5-1'!$B$58:$O$58,0),FALSE)</f>
        <v>19263</v>
      </c>
      <c r="L82" s="1016"/>
      <c r="M82" s="1044">
        <f>VLOOKUP($I$61,'D_Ch-5-1'!$B$109:$O$158,MATCH("Hébergement et restauration",'D_Ch-5-1'!$B$58:$O$58,0),FALSE)</f>
        <v>4.227763255792516E-2</v>
      </c>
      <c r="N82" s="1045"/>
      <c r="O82" s="310"/>
      <c r="P82" s="310"/>
      <c r="Q82" s="1017">
        <f>VLOOKUP($O$61,'D_Ch-5-1'!$B$58:$O$107,MATCH("Hébergement et restauration",'D_Ch-5-1'!$B$58:$O$58,0),FALSE)</f>
        <v>18744</v>
      </c>
      <c r="R82" s="1016"/>
      <c r="S82" s="1044">
        <f>VLOOKUP($O$61,'D_Ch-5-1'!$B$109:$O$158,MATCH("Hébergement et restauration",'D_Ch-5-1'!$B$58:$O$58,0),FALSE)</f>
        <v>3.5886940056327025E-2</v>
      </c>
      <c r="T82" s="1045"/>
    </row>
    <row r="83" spans="1:20">
      <c r="A83" s="505" t="s">
        <v>281</v>
      </c>
      <c r="B83" s="506"/>
      <c r="C83" s="506"/>
      <c r="D83" s="506"/>
      <c r="E83" s="506"/>
      <c r="F83" s="506"/>
      <c r="G83" s="474"/>
      <c r="H83" s="397"/>
      <c r="I83" s="397"/>
      <c r="J83" s="398"/>
      <c r="K83" s="1017">
        <f>VLOOKUP($I$61,'D_Ch-5-1'!$B$58:$O$107,MATCH("Information et communication",'D_Ch-5-1'!$B$58:$O$58,0),FALSE)</f>
        <v>17083</v>
      </c>
      <c r="L83" s="1016"/>
      <c r="M83" s="1044">
        <f>VLOOKUP($I$61,'D_Ch-5-1'!$B$109:$O$158,MATCH("Information et communication",'D_Ch-5-1'!$B$58:$O$58,0),FALSE)</f>
        <v>3.749305907631395E-2</v>
      </c>
      <c r="N83" s="1045"/>
      <c r="O83" s="310"/>
      <c r="P83" s="310"/>
      <c r="Q83" s="1017">
        <f>VLOOKUP($O$61,'D_Ch-5-1'!$B$58:$O$107,MATCH("Information et communication",'D_Ch-5-1'!$B$58:$O$58,0),FALSE)</f>
        <v>26763</v>
      </c>
      <c r="R83" s="1016"/>
      <c r="S83" s="1044">
        <f>VLOOKUP($O$61,'D_Ch-5-1'!$B$109:$O$158,MATCH("Information et communication",'D_Ch-5-1'!$B$58:$O$58,0),FALSE)</f>
        <v>5.1239979552255663E-2</v>
      </c>
      <c r="T83" s="1045"/>
    </row>
    <row r="84" spans="1:20">
      <c r="A84" s="505" t="s">
        <v>282</v>
      </c>
      <c r="B84" s="506"/>
      <c r="C84" s="506"/>
      <c r="D84" s="506"/>
      <c r="E84" s="506"/>
      <c r="F84" s="506"/>
      <c r="G84" s="474"/>
      <c r="H84" s="397"/>
      <c r="I84" s="397"/>
      <c r="J84" s="398"/>
      <c r="K84" s="1017">
        <f>VLOOKUP($I$61,'D_Ch-5-1'!$B$58:$O$107,MATCH("Activités financières et d'assurance",'D_Ch-5-1'!$B$58:$O$58,0),FALSE)</f>
        <v>20848</v>
      </c>
      <c r="L84" s="1016"/>
      <c r="M84" s="1044">
        <f>VLOOKUP($I$61,'D_Ch-5-1'!$B$109:$O$158,MATCH("Activités financières et d'assurance",'D_Ch-5-1'!$B$58:$O$58,0),FALSE)</f>
        <v>4.575632474524341E-2</v>
      </c>
      <c r="N84" s="1045"/>
      <c r="O84" s="310"/>
      <c r="P84" s="310"/>
      <c r="Q84" s="1017">
        <f>VLOOKUP($O$61,'D_Ch-5-1'!$B$58:$O$107,MATCH("Activités financières et d'assurance",'D_Ch-5-1'!$B$58:$O$58,0),FALSE)</f>
        <v>16184</v>
      </c>
      <c r="R84" s="1016"/>
      <c r="S84" s="1044">
        <f>VLOOKUP($O$61,'D_Ch-5-1'!$B$109:$O$158,MATCH("Activités financières et d'assurance",'D_Ch-5-1'!$B$58:$O$58,0),FALSE)</f>
        <v>3.0985608081071096E-2</v>
      </c>
      <c r="T84" s="1045"/>
    </row>
    <row r="85" spans="1:20">
      <c r="A85" s="505" t="s">
        <v>283</v>
      </c>
      <c r="B85" s="506"/>
      <c r="C85" s="506"/>
      <c r="D85" s="506"/>
      <c r="E85" s="506"/>
      <c r="F85" s="506"/>
      <c r="G85" s="474"/>
      <c r="H85" s="397"/>
      <c r="I85" s="397"/>
      <c r="J85" s="398"/>
      <c r="K85" s="1017">
        <f>VLOOKUP($I$61,'D_Ch-5-1'!$B$58:$O$107,MATCH("Activités immobilières",'D_Ch-5-1'!$B$58:$O$58,0),FALSE)</f>
        <v>5476</v>
      </c>
      <c r="L85" s="1016"/>
      <c r="M85" s="1044">
        <f>VLOOKUP($I$61,'D_Ch-5-1'!$B$109:$O$158,MATCH("Activités immobilières",'D_Ch-5-1'!$B$58:$O$58,0),FALSE)</f>
        <v>1.2018497424450927E-2</v>
      </c>
      <c r="N85" s="1045"/>
      <c r="O85" s="310"/>
      <c r="P85" s="310"/>
      <c r="Q85" s="1017">
        <f>VLOOKUP($O$61,'D_Ch-5-1'!$B$58:$O$107,MATCH("Activités immobilières",'D_Ch-5-1'!$B$58:$O$58,0),FALSE)</f>
        <v>5353</v>
      </c>
      <c r="R85" s="1016"/>
      <c r="S85" s="1044">
        <f>VLOOKUP($O$61,'D_Ch-5-1'!$B$109:$O$158,MATCH("Activités immobilières",'D_Ch-5-1'!$B$58:$O$58,0),FALSE)</f>
        <v>1.0248761743572267E-2</v>
      </c>
      <c r="T85" s="1045"/>
    </row>
    <row r="86" spans="1:20">
      <c r="A86" s="505" t="s">
        <v>815</v>
      </c>
      <c r="B86" s="506"/>
      <c r="C86" s="506"/>
      <c r="D86" s="506"/>
      <c r="E86" s="506"/>
      <c r="F86" s="506"/>
      <c r="G86" s="474"/>
      <c r="H86" s="397"/>
      <c r="I86" s="397"/>
      <c r="J86" s="398"/>
      <c r="K86" s="1017">
        <f>VLOOKUP($I$61,'D_Ch-5-1'!$B$58:$O$107,MATCH("Ac spé, sci &amp; tec, svces adm &amp; stn",'D_Ch-5-1'!$B$58:$O$58,0),FALSE)</f>
        <v>54015</v>
      </c>
      <c r="L86" s="1016"/>
      <c r="M86" s="1044">
        <f>VLOOKUP($I$61,'D_Ch-5-1'!$B$109:$O$158,MATCH("Ac spé, sci &amp; tec, svces adm &amp; stn",'D_Ch-5-1'!$B$58:$O$58,0),FALSE)</f>
        <v>0.1185498791785458</v>
      </c>
      <c r="N86" s="1045"/>
      <c r="O86" s="310"/>
      <c r="P86" s="310"/>
      <c r="Q86" s="1017">
        <f>VLOOKUP($O$61,'D_Ch-5-1'!$B$58:$O$107,MATCH("Ac spé, sci &amp; tec, svces adm &amp; stn",'D_Ch-5-1'!$B$58:$O$58,0),FALSE)</f>
        <v>80814</v>
      </c>
      <c r="R86" s="1016"/>
      <c r="S86" s="1044">
        <f>VLOOKUP($O$61,'D_Ch-5-1'!$B$109:$O$158,MATCH("Ac spé, sci &amp; tec, svces adm &amp; stn",'D_Ch-5-1'!$B$58:$O$58,0),FALSE)</f>
        <v>0.15472509462825504</v>
      </c>
      <c r="T86" s="1045"/>
    </row>
    <row r="87" spans="1:20">
      <c r="A87" s="505" t="s">
        <v>1179</v>
      </c>
      <c r="B87" s="506"/>
      <c r="C87" s="506"/>
      <c r="D87" s="506"/>
      <c r="E87" s="506"/>
      <c r="F87" s="506"/>
      <c r="G87" s="474"/>
      <c r="H87" s="397"/>
      <c r="I87" s="397"/>
      <c r="J87" s="398"/>
      <c r="K87" s="1017">
        <f>VLOOKUP($I$61,'D_Ch-5-1'!$B$58:$O$107,MATCH("Admin pub, enseign, santé &amp; act soc",'D_Ch-5-1'!$B$58:$O$58,0),FALSE)</f>
        <v>148574</v>
      </c>
      <c r="L87" s="1016"/>
      <c r="M87" s="1044">
        <f>VLOOKUP($I$61,'D_Ch-5-1'!$B$109:$O$158,MATCH("Admin pub, enseign, santé &amp; act soc",'D_Ch-5-1'!$B$58:$O$58,0),FALSE)</f>
        <v>0.32608404608114899</v>
      </c>
      <c r="N87" s="1045"/>
      <c r="O87" s="310"/>
      <c r="P87" s="310"/>
      <c r="Q87" s="1017">
        <f>VLOOKUP($O$61,'D_Ch-5-1'!$B$58:$O$107,MATCH("Admin pub, enseign, santé &amp; act soc",'D_Ch-5-1'!$B$58:$O$58,0),FALSE)</f>
        <v>159979</v>
      </c>
      <c r="R87" s="1016"/>
      <c r="S87" s="1044">
        <f>VLOOKUP($O$61,'D_Ch-5-1'!$B$109:$O$158,MATCH("Admin pub, enseign, santé &amp; act soc",'D_Ch-5-1'!$B$58:$O$58,0),FALSE)</f>
        <v>0.30629304221463621</v>
      </c>
      <c r="T87" s="1045"/>
    </row>
    <row r="88" spans="1:20">
      <c r="A88" s="505" t="s">
        <v>286</v>
      </c>
      <c r="B88" s="506"/>
      <c r="C88" s="506"/>
      <c r="D88" s="506"/>
      <c r="E88" s="506"/>
      <c r="F88" s="506"/>
      <c r="G88" s="474"/>
      <c r="H88" s="397"/>
      <c r="I88" s="397"/>
      <c r="J88" s="398"/>
      <c r="K88" s="1017">
        <f>VLOOKUP($I$61,'D_Ch-5-1'!$B$58:$O$107,MATCH("Autres activités de services",'D_Ch-5-1'!$B$58:$O$58,0),FALSE)</f>
        <v>14912</v>
      </c>
      <c r="L88" s="1016"/>
      <c r="M88" s="1044">
        <f>VLOOKUP($I$61,'D_Ch-5-1'!$B$109:$O$158,MATCH("Autres activités de services",'D_Ch-5-1'!$B$58:$O$58,0),FALSE)</f>
        <v>3.2728238421002961E-2</v>
      </c>
      <c r="N88" s="1045"/>
      <c r="O88" s="310"/>
      <c r="P88" s="310"/>
      <c r="Q88" s="1017">
        <f>VLOOKUP($O$61,'D_Ch-5-1'!$B$58:$O$107,MATCH("Autres activités de services",'D_Ch-5-1'!$B$58:$O$58,0),FALSE)</f>
        <v>17696</v>
      </c>
      <c r="R88" s="1016"/>
      <c r="S88" s="1044">
        <f>VLOOKUP($O$61,'D_Ch-5-1'!$B$109:$O$158,MATCH("Autres activités de services",'D_Ch-5-1'!$B$58:$O$58,0),FALSE)</f>
        <v>3.3880457278956631E-2</v>
      </c>
      <c r="T88" s="1045"/>
    </row>
    <row r="89" spans="1:20" ht="7.5" customHeight="1"/>
    <row r="90" spans="1:20" ht="19.5" customHeight="1">
      <c r="A90" s="851" t="s">
        <v>1101</v>
      </c>
      <c r="B90" s="851"/>
      <c r="C90" s="851"/>
      <c r="D90" s="851"/>
      <c r="E90" s="851"/>
      <c r="F90" s="851"/>
      <c r="G90" s="851"/>
      <c r="H90" s="851"/>
      <c r="I90" s="851"/>
      <c r="J90" s="851"/>
      <c r="K90" s="851"/>
      <c r="L90" s="781"/>
      <c r="M90" s="310"/>
      <c r="N90" s="310"/>
      <c r="O90" s="310"/>
      <c r="P90" s="310"/>
      <c r="Q90" s="310"/>
      <c r="R90" s="310"/>
      <c r="S90" s="310"/>
      <c r="T90" s="310"/>
    </row>
    <row r="91" spans="1:20">
      <c r="A91" s="310"/>
      <c r="B91" s="310"/>
      <c r="C91" s="310"/>
      <c r="D91" s="310"/>
      <c r="E91" s="310"/>
      <c r="F91" s="310"/>
      <c r="G91" s="310"/>
      <c r="H91" s="310"/>
      <c r="I91" s="310"/>
      <c r="J91" s="310"/>
      <c r="K91" s="310"/>
      <c r="L91" s="310"/>
      <c r="M91" s="310"/>
      <c r="N91" s="310"/>
      <c r="O91" s="310"/>
      <c r="P91" s="310"/>
      <c r="Q91" s="310"/>
      <c r="R91" s="310"/>
      <c r="S91" s="310"/>
      <c r="T91" s="310"/>
    </row>
    <row r="92" spans="1:20">
      <c r="A92" s="310"/>
      <c r="B92" s="310"/>
      <c r="C92" s="310"/>
      <c r="D92" s="310"/>
      <c r="E92" s="310"/>
      <c r="F92" s="310"/>
      <c r="G92" s="310"/>
      <c r="H92" s="310"/>
      <c r="I92" s="310"/>
      <c r="J92" s="310"/>
      <c r="K92" s="310"/>
      <c r="L92" s="310"/>
      <c r="M92" s="310"/>
      <c r="N92" s="310"/>
      <c r="O92" s="310"/>
      <c r="P92" s="310"/>
      <c r="Q92" s="310"/>
      <c r="R92" s="310"/>
      <c r="S92" s="310"/>
      <c r="T92" s="310"/>
    </row>
    <row r="93" spans="1:20" ht="12" customHeight="1">
      <c r="A93" s="310"/>
      <c r="B93" s="310"/>
      <c r="C93" s="310"/>
      <c r="D93" s="310"/>
      <c r="E93" s="310"/>
      <c r="F93" s="310"/>
      <c r="G93" s="310"/>
      <c r="H93" s="310"/>
      <c r="I93" s="310"/>
      <c r="J93" s="310"/>
      <c r="K93" s="310"/>
      <c r="L93" s="310"/>
      <c r="M93" s="310"/>
      <c r="N93" s="310"/>
      <c r="O93" s="310"/>
      <c r="P93" s="310"/>
      <c r="Q93" s="310"/>
      <c r="R93" s="310"/>
      <c r="S93" s="310"/>
      <c r="T93" s="310"/>
    </row>
    <row r="94" spans="1:20"/>
    <row r="95" spans="1:20"/>
    <row r="96" spans="1:20"/>
    <row r="97" spans="1:21" ht="24.75" customHeight="1"/>
    <row r="98" spans="1:21"/>
    <row r="99" spans="1:21"/>
    <row r="100" spans="1:21">
      <c r="A100" s="399"/>
      <c r="B100" s="507" t="s">
        <v>275</v>
      </c>
      <c r="C100" s="507" t="s">
        <v>276</v>
      </c>
      <c r="D100" s="507" t="s">
        <v>277</v>
      </c>
      <c r="E100" s="507" t="s">
        <v>811</v>
      </c>
      <c r="F100" s="507" t="s">
        <v>279</v>
      </c>
      <c r="G100" s="507" t="s">
        <v>280</v>
      </c>
      <c r="H100" s="507" t="s">
        <v>281</v>
      </c>
      <c r="I100" s="507" t="s">
        <v>282</v>
      </c>
      <c r="J100" s="507" t="s">
        <v>283</v>
      </c>
      <c r="K100" s="507" t="s">
        <v>1180</v>
      </c>
      <c r="L100" s="507" t="s">
        <v>1179</v>
      </c>
      <c r="M100" s="507" t="s">
        <v>286</v>
      </c>
      <c r="N100" s="399"/>
      <c r="O100" s="194"/>
      <c r="P100" s="194"/>
      <c r="Q100" s="194"/>
    </row>
    <row r="101" spans="1:21">
      <c r="A101" s="399" t="str">
        <f>I61</f>
        <v>AU Bordeaux</v>
      </c>
      <c r="B101" s="399">
        <f>VLOOKUP($I$61,'D_Ch-5-1'!$B$161:$O$210,MATCH("Agriculture",'D_Ch-5-1'!$B$161:$O$161,0),FALSE)</f>
        <v>1.6148220375574776</v>
      </c>
      <c r="C101" s="399">
        <f>VLOOKUP($I$61,'D_Ch-5-1'!$B$161:$O$210,MATCH("Industries",'D_Ch-5-1'!$B$161:$O$161,0),FALSE)</f>
        <v>0.71756964352554686</v>
      </c>
      <c r="D101" s="399">
        <f>VLOOKUP($I$61,'D_Ch-5-1'!$B$161:$O$210,MATCH("Construction",'D_Ch-5-1'!$B$161:$O$161,0),FALSE)</f>
        <v>1.049909966414398</v>
      </c>
      <c r="E101" s="399">
        <f>VLOOKUP($I$61,'D_Ch-5-1'!$B$161:$O$210,MATCH("Commerce ; répar auto,moto",'D_Ch-5-1'!$B$161:$O$161,0),FALSE)</f>
        <v>0.99645434701843794</v>
      </c>
      <c r="F101" s="399">
        <f>VLOOKUP($I$61,'D_Ch-5-1'!$B$161:$O$210,MATCH("Transports et entreposage",'D_Ch-5-1'!$B$161:$O$161,0),FALSE)</f>
        <v>1.1187827968303083</v>
      </c>
      <c r="G101" s="399">
        <f>VLOOKUP($I$61,'D_Ch-5-1'!$B$161:$O$210,MATCH("Hébergement et restauration",'D_Ch-5-1'!$B$161:$O$161,0),FALSE)</f>
        <v>0.99850404746988175</v>
      </c>
      <c r="H101" s="399">
        <f>VLOOKUP($I$61,'D_Ch-5-1'!$B$161:$O$210,MATCH("Information et communication",'D_Ch-5-1'!$B$161:$O$161,0),FALSE)</f>
        <v>1.1725658088949178</v>
      </c>
      <c r="I101" s="399">
        <f>VLOOKUP($I$61,'D_Ch-5-1'!$B$161:$O$210,MATCH("Activités financières et d'assurance",'D_Ch-5-1'!$B$161:$O$161,0),FALSE)</f>
        <v>1.2063117134790871</v>
      </c>
      <c r="J101" s="399">
        <f>VLOOKUP($I$61,'D_Ch-5-1'!$B$161:$O$210,MATCH("Activités immobilières",'D_Ch-5-1'!$B$161:$O$161,0),FALSE)</f>
        <v>1.1502904950659274</v>
      </c>
      <c r="K101" s="399">
        <f>VLOOKUP($I$61,'D_Ch-5-1'!$B$161:$O$210,MATCH("Ac spé, sci &amp; tec, svces adm &amp; stn",'D_Ch-5-1'!$B$161:$O$161,0),FALSE)</f>
        <v>1.0555457227685789</v>
      </c>
      <c r="L101" s="399">
        <f>VLOOKUP($I$61,'D_Ch-5-1'!$B$161:$O$210,MATCH("Admin pub, enseign, santé &amp; act soc",'D_Ch-5-1'!$B$161:$O$161,0),FALSE)</f>
        <v>1.0139064379884017</v>
      </c>
      <c r="M101" s="399">
        <f>VLOOKUP($I$61,'D_Ch-5-1'!$B$161:$O$210,MATCH("Autres activités de services",'D_Ch-5-1'!$B$161:$O$161,0),FALSE)</f>
        <v>0.92890725854558931</v>
      </c>
      <c r="N101" s="399"/>
      <c r="O101" s="194"/>
      <c r="P101" s="194"/>
      <c r="Q101" s="194"/>
    </row>
    <row r="102" spans="1:21">
      <c r="A102" s="399" t="str">
        <f>O61</f>
        <v>AU Toulouse</v>
      </c>
      <c r="B102" s="399">
        <f>VLOOKUP($O$61,'D_Ch-5-1'!$B$161:$O$210,MATCH("Agriculture",'D_Ch-5-1'!$B$161:$O$161,0),FALSE)</f>
        <v>0.26100496639871917</v>
      </c>
      <c r="C102" s="399">
        <f>VLOOKUP($O$61,'D_Ch-5-1'!$B$161:$O$210,MATCH("Industries",'D_Ch-5-1'!$B$161:$O$161,0),FALSE)</f>
        <v>0.9857193330350329</v>
      </c>
      <c r="D102" s="399">
        <f>VLOOKUP($O$61,'D_Ch-5-1'!$B$161:$O$210,MATCH("Construction",'D_Ch-5-1'!$B$161:$O$161,0),FALSE)</f>
        <v>0.9987799363923725</v>
      </c>
      <c r="E102" s="399">
        <f>VLOOKUP($O$61,'D_Ch-5-1'!$B$161:$O$210,MATCH("Commerce ; répar auto,moto",'D_Ch-5-1'!$B$161:$O$161,0),FALSE)</f>
        <v>0.84914054126966265</v>
      </c>
      <c r="F102" s="399">
        <f>VLOOKUP($O$61,'D_Ch-5-1'!$B$161:$O$210,MATCH("Transports et entreposage",'D_Ch-5-1'!$B$161:$O$161,0),FALSE)</f>
        <v>0.99293452512505209</v>
      </c>
      <c r="G102" s="399">
        <f>VLOOKUP($O$61,'D_Ch-5-1'!$B$161:$O$210,MATCH("Hébergement et restauration",'D_Ch-5-1'!$B$161:$O$161,0),FALSE)</f>
        <v>0.84757004424161952</v>
      </c>
      <c r="H102" s="399">
        <f>VLOOKUP($O$61,'D_Ch-5-1'!$B$161:$O$210,MATCH("Information et communication",'D_Ch-5-1'!$B$161:$O$161,0),FALSE)</f>
        <v>1.6024898888393548</v>
      </c>
      <c r="I102" s="399">
        <f>VLOOKUP($O$61,'D_Ch-5-1'!$B$161:$O$210,MATCH("Activités financières et d'assurance",'D_Ch-5-1'!$B$161:$O$161,0),FALSE)</f>
        <v>0.81689913220912647</v>
      </c>
      <c r="J102" s="399">
        <f>VLOOKUP($O$61,'D_Ch-5-1'!$B$161:$O$210,MATCH("Activités immobilières",'D_Ch-5-1'!$B$161:$O$161,0),FALSE)</f>
        <v>0.98090907735623778</v>
      </c>
      <c r="K102" s="399">
        <f>VLOOKUP($O$61,'D_Ch-5-1'!$B$161:$O$210,MATCH("Ac spé, sci &amp; tec, svces adm &amp; stn",'D_Ch-5-1'!$B$161:$O$161,0),FALSE)</f>
        <v>1.3776430053871742</v>
      </c>
      <c r="L102" s="399">
        <f>VLOOKUP($O$61,'D_Ch-5-1'!$B$161:$O$210,MATCH("Admin pub, enseign, santé &amp; act soc",'D_Ch-5-1'!$B$161:$O$161,0),FALSE)</f>
        <v>0.95236946163011349</v>
      </c>
      <c r="M102" s="399">
        <f>VLOOKUP($O$61,'D_Ch-5-1'!$B$161:$O$210,MATCH("Autres activités de services",'D_Ch-5-1'!$B$161:$O$161,0),FALSE)</f>
        <v>0.96161004098130454</v>
      </c>
      <c r="N102" s="399"/>
      <c r="O102" s="194"/>
      <c r="P102" s="194"/>
      <c r="Q102" s="194"/>
    </row>
    <row r="103" spans="1:21"/>
    <row r="104" spans="1:21"/>
    <row r="105" spans="1:21"/>
    <row r="106" spans="1:21" ht="15" customHeight="1">
      <c r="A106" s="517"/>
      <c r="B106" s="428"/>
      <c r="C106" s="428"/>
      <c r="D106" s="428"/>
      <c r="E106" s="428"/>
      <c r="F106" s="1105" t="s">
        <v>1039</v>
      </c>
      <c r="G106" s="1105"/>
      <c r="H106" s="1105"/>
      <c r="I106" s="1105"/>
      <c r="J106" s="1105"/>
      <c r="K106" s="1105"/>
      <c r="L106" s="1105"/>
      <c r="M106" s="1105"/>
      <c r="N106" s="1105"/>
      <c r="O106" s="1105"/>
      <c r="P106" s="1105"/>
      <c r="Q106" s="1105"/>
      <c r="R106" s="1105"/>
      <c r="S106" s="1105"/>
      <c r="T106" s="1105"/>
      <c r="U106" s="785"/>
    </row>
    <row r="107" spans="1:21" ht="15" customHeight="1">
      <c r="A107" s="429"/>
      <c r="B107" s="428"/>
      <c r="C107" s="428"/>
      <c r="D107" s="428"/>
      <c r="E107" s="428"/>
      <c r="F107" s="1105"/>
      <c r="G107" s="1105"/>
      <c r="H107" s="1105"/>
      <c r="I107" s="1105"/>
      <c r="J107" s="1105"/>
      <c r="K107" s="1105"/>
      <c r="L107" s="1105"/>
      <c r="M107" s="1105"/>
      <c r="N107" s="1105"/>
      <c r="O107" s="1105"/>
      <c r="P107" s="1105"/>
      <c r="Q107" s="1105"/>
      <c r="R107" s="1105"/>
      <c r="S107" s="1105"/>
      <c r="T107" s="1105"/>
      <c r="U107" s="785"/>
    </row>
    <row r="108" spans="1:21" ht="15" customHeight="1">
      <c r="A108" s="430"/>
      <c r="B108" s="428"/>
      <c r="C108" s="428"/>
      <c r="D108" s="428"/>
      <c r="E108" s="428"/>
      <c r="F108" s="1105"/>
      <c r="G108" s="1105"/>
      <c r="H108" s="1105"/>
      <c r="I108" s="1105"/>
      <c r="J108" s="1105"/>
      <c r="K108" s="1105"/>
      <c r="L108" s="1105"/>
      <c r="M108" s="1105"/>
      <c r="N108" s="1105"/>
      <c r="O108" s="1105"/>
      <c r="P108" s="1105"/>
      <c r="Q108" s="1105"/>
      <c r="R108" s="1105"/>
      <c r="S108" s="1105"/>
      <c r="T108" s="1105"/>
      <c r="U108" s="785"/>
    </row>
    <row r="109" spans="1:21" ht="15" customHeight="1">
      <c r="F109" s="1105"/>
      <c r="G109" s="1105"/>
      <c r="H109" s="1105"/>
      <c r="I109" s="1105"/>
      <c r="J109" s="1105"/>
      <c r="K109" s="1105"/>
      <c r="L109" s="1105"/>
      <c r="M109" s="1105"/>
      <c r="N109" s="1105"/>
      <c r="O109" s="1105"/>
      <c r="P109" s="1105"/>
      <c r="Q109" s="1105"/>
      <c r="R109" s="1105"/>
      <c r="S109" s="1105"/>
      <c r="T109" s="1105"/>
      <c r="U109" s="785"/>
    </row>
    <row r="110" spans="1:21" ht="4.5" customHeight="1">
      <c r="U110" s="163"/>
    </row>
    <row r="111" spans="1:21" ht="15" customHeight="1">
      <c r="A111" s="1102" t="s">
        <v>810</v>
      </c>
      <c r="B111" s="1102"/>
      <c r="C111" s="1102"/>
      <c r="D111" s="1102"/>
      <c r="E111" s="1102"/>
      <c r="F111" s="1102"/>
      <c r="G111" s="1102"/>
      <c r="H111" s="1102"/>
      <c r="I111" s="1102"/>
      <c r="J111" s="1102"/>
      <c r="K111" s="1102"/>
      <c r="L111" s="1102"/>
      <c r="M111" s="1102"/>
      <c r="N111" s="1102"/>
      <c r="O111" s="1102"/>
      <c r="P111" s="1102"/>
      <c r="Q111" s="1102"/>
      <c r="R111" s="1102"/>
      <c r="S111" s="1102"/>
      <c r="T111" s="1102"/>
      <c r="U111" s="784"/>
    </row>
    <row r="112" spans="1:21" ht="15" customHeight="1">
      <c r="A112" s="1102"/>
      <c r="B112" s="1102"/>
      <c r="C112" s="1102"/>
      <c r="D112" s="1102"/>
      <c r="E112" s="1102"/>
      <c r="F112" s="1102"/>
      <c r="G112" s="1102"/>
      <c r="H112" s="1102"/>
      <c r="I112" s="1102"/>
      <c r="J112" s="1102"/>
      <c r="K112" s="1102"/>
      <c r="L112" s="1102"/>
      <c r="M112" s="1102"/>
      <c r="N112" s="1102"/>
      <c r="O112" s="1102"/>
      <c r="P112" s="1102"/>
      <c r="Q112" s="1102"/>
      <c r="R112" s="1102"/>
      <c r="S112" s="1102"/>
      <c r="T112" s="1102"/>
      <c r="U112" s="784"/>
    </row>
    <row r="113" spans="1:21" ht="7.5" customHeight="1" thickBot="1">
      <c r="A113" s="409"/>
      <c r="B113" s="409"/>
      <c r="C113" s="409"/>
      <c r="D113" s="409"/>
      <c r="E113" s="409"/>
      <c r="F113" s="409"/>
      <c r="G113" s="409"/>
      <c r="H113" s="409"/>
      <c r="I113" s="409"/>
      <c r="J113" s="409"/>
      <c r="K113" s="409"/>
      <c r="L113" s="409"/>
      <c r="M113" s="409"/>
      <c r="N113" s="409"/>
      <c r="O113" s="409"/>
      <c r="P113" s="409"/>
      <c r="Q113" s="409"/>
      <c r="R113" s="409"/>
      <c r="S113" s="409"/>
      <c r="T113" s="409"/>
      <c r="U113" s="163"/>
    </row>
    <row r="114" spans="1:21" ht="16.5" thickTop="1" thickBot="1">
      <c r="A114" s="1011" t="s">
        <v>1077</v>
      </c>
      <c r="B114" s="1012"/>
      <c r="C114" s="1013"/>
      <c r="D114" s="403"/>
      <c r="E114" s="557"/>
      <c r="F114" s="557"/>
      <c r="G114" s="557"/>
      <c r="H114" s="994" t="s">
        <v>61</v>
      </c>
      <c r="I114" s="995"/>
      <c r="J114" s="995"/>
      <c r="K114" s="996"/>
      <c r="L114" s="744"/>
      <c r="M114" s="744"/>
      <c r="N114" s="744"/>
      <c r="O114" s="997" t="s">
        <v>32</v>
      </c>
      <c r="P114" s="998"/>
      <c r="Q114" s="998"/>
      <c r="R114" s="999"/>
      <c r="S114" s="557"/>
      <c r="T114" s="403"/>
      <c r="U114" s="163"/>
    </row>
    <row r="115" spans="1:21" ht="15.75" thickTop="1">
      <c r="A115" s="403"/>
      <c r="B115" s="403"/>
      <c r="C115" s="403"/>
      <c r="D115" s="403"/>
      <c r="E115" s="403"/>
      <c r="F115" s="403"/>
      <c r="G115" s="403"/>
      <c r="H115" s="403"/>
      <c r="I115" s="403"/>
      <c r="J115" s="403"/>
      <c r="K115" s="403"/>
      <c r="L115" s="403"/>
      <c r="M115" s="403"/>
      <c r="N115" s="403"/>
      <c r="O115" s="403"/>
      <c r="P115" s="403"/>
      <c r="Q115" s="403"/>
      <c r="R115" s="403"/>
      <c r="S115" s="403"/>
      <c r="T115" s="403"/>
    </row>
    <row r="116" spans="1:21">
      <c r="A116" s="852" t="s">
        <v>1715</v>
      </c>
      <c r="B116" s="852"/>
      <c r="C116" s="852"/>
      <c r="D116" s="852"/>
      <c r="E116" s="852"/>
      <c r="F116" s="852"/>
      <c r="G116" s="403"/>
      <c r="H116" s="403"/>
      <c r="I116" s="403"/>
      <c r="J116" s="403"/>
      <c r="K116" s="403"/>
      <c r="L116" s="403"/>
      <c r="M116" s="403"/>
      <c r="N116" s="403"/>
      <c r="O116" s="403"/>
      <c r="P116" s="403"/>
      <c r="Q116" s="403"/>
      <c r="R116" s="403"/>
      <c r="S116" s="403"/>
      <c r="T116" s="403"/>
    </row>
    <row r="117" spans="1:21" ht="25.5" customHeight="1">
      <c r="A117" s="403"/>
      <c r="B117" s="403"/>
      <c r="C117" s="403"/>
      <c r="D117" s="403"/>
      <c r="E117" s="403"/>
      <c r="F117" s="403"/>
      <c r="G117" s="1008" t="s">
        <v>982</v>
      </c>
      <c r="H117" s="1009"/>
      <c r="I117" s="1010"/>
      <c r="J117" s="1008" t="s">
        <v>1250</v>
      </c>
      <c r="K117" s="1009"/>
      <c r="L117" s="1010"/>
      <c r="M117" s="403"/>
      <c r="N117" s="1008" t="s">
        <v>982</v>
      </c>
      <c r="O117" s="1009"/>
      <c r="P117" s="1010"/>
      <c r="Q117" s="1008" t="s">
        <v>1250</v>
      </c>
      <c r="R117" s="1009"/>
      <c r="S117" s="1010"/>
      <c r="T117" s="403"/>
    </row>
    <row r="118" spans="1:21">
      <c r="A118" s="1000" t="s">
        <v>983</v>
      </c>
      <c r="B118" s="1001"/>
      <c r="C118" s="1001"/>
      <c r="D118" s="1002"/>
      <c r="E118" s="992" t="s">
        <v>1102</v>
      </c>
      <c r="F118" s="993"/>
      <c r="G118" s="518"/>
      <c r="H118" s="519">
        <f>VLOOKUP($H$114,'D_Ch-5-1'!$B$5:$P$54,MATCH("dont postes actifs sphère présentielle privé  N-1",'D_Ch-5-1'!$B$5:$P$5,0),FALSE)/VLOOKUP($H$114,'D_Ch-5-1'!$B$5:$P$54,MATCH("Total Effectifs actifs N-1",'D_Ch-5-1'!$B$5:$P$5,0),FALSE)</f>
        <v>0.43033287901832845</v>
      </c>
      <c r="I118" s="520"/>
      <c r="J118" s="473"/>
      <c r="K118" s="519">
        <f>VLOOKUP($H$114,'D_Ch-5-1'!$B$5:$P$54,MATCH("dont Etab actifs sphère présentielle privé  N-1",'D_Ch-5-1'!$B$5:$P$5,0),FALSE)/VLOOKUP($H$114,'D_Ch-5-1'!$B$5:$P$54,MATCH("Total etab actifs N-1",'D_Ch-5-1'!$B$5:$P$5,0),FALSE)</f>
        <v>0.58773300892382796</v>
      </c>
      <c r="L118" s="475"/>
      <c r="M118" s="403"/>
      <c r="N118" s="473"/>
      <c r="O118" s="519">
        <f>VLOOKUP($O$114,'D_Ch-5-1'!$B$5:$P$54,MATCH("dont postes actifs sphère présentielle privé  N-1",'D_Ch-5-1'!$B$5:$P$5,0),FALSE)/VLOOKUP($O$114,'D_Ch-5-1'!$B$5:$P$54,MATCH("Total Effectifs actifs N-1",'D_Ch-5-1'!$B$5:$P$5,0),FALSE)</f>
        <v>0.38647002624893023</v>
      </c>
      <c r="P118" s="475"/>
      <c r="Q118" s="473"/>
      <c r="R118" s="519">
        <f>VLOOKUP($O$114,'D_Ch-5-1'!$B$5:$P$54,MATCH("dont Etab actifs sphère présentielle privé  N-1",'D_Ch-5-1'!$B$5:$P$5,0),FALSE)/VLOOKUP($O$114,'D_Ch-5-1'!$B$5:$P$54,MATCH("Total etab actifs N-1",'D_Ch-5-1'!$B$5:$P$5,0),FALSE)</f>
        <v>0.58052927793078668</v>
      </c>
      <c r="S118" s="475"/>
      <c r="T118" s="403"/>
    </row>
    <row r="119" spans="1:21" ht="15.75" thickBot="1">
      <c r="A119" s="1003"/>
      <c r="B119" s="1004"/>
      <c r="C119" s="1004"/>
      <c r="D119" s="1005"/>
      <c r="E119" s="1006" t="s">
        <v>1103</v>
      </c>
      <c r="F119" s="1007"/>
      <c r="G119" s="521"/>
      <c r="H119" s="522">
        <f>VLOOKUP($H$114,'D_Ch-5-1'!$B$5:$P$54,MATCH("dont Effectifs sphère présentielle public N-1",'D_Ch-5-1'!$B$5:$P$5,0),FALSE)/VLOOKUP($H$114,'D_Ch-5-1'!$B$5:$P$54,MATCH("Total Effectifs actifs N-1",'D_Ch-5-1'!$B$5:$P$5,0),FALSE)</f>
        <v>0.2375716314298193</v>
      </c>
      <c r="I119" s="523"/>
      <c r="J119" s="524"/>
      <c r="K119" s="525">
        <f>VLOOKUP($H$114,'D_Ch-5-1'!$B$5:$P$54,MATCH("dont Etab actifs sphère présentielle public  N-1",'D_Ch-5-1'!$B$5:$P$5,0),FALSE)/VLOOKUP($H$114,'D_Ch-5-1'!$B$5:$P$54,MATCH("Total etab actifs N-1",'D_Ch-5-1'!$B$5:$P$5,0),FALSE)</f>
        <v>1.7716762783248765E-2</v>
      </c>
      <c r="L119" s="526"/>
      <c r="M119" s="403"/>
      <c r="N119" s="524"/>
      <c r="O119" s="522">
        <f>VLOOKUP($O$114,'D_Ch-5-1'!$B$5:$P$54,MATCH("dont Effectifs sphère présentielle public N-1",'D_Ch-5-1'!$B$5:$P$5,0),FALSE)/VLOOKUP($O$114,'D_Ch-5-1'!$B$5:$P$54,MATCH("Total Effectifs actifs N-1",'D_Ch-5-1'!$B$5:$P$5,0),FALSE)</f>
        <v>0.21910868512196849</v>
      </c>
      <c r="P119" s="526"/>
      <c r="Q119" s="524"/>
      <c r="R119" s="525">
        <f>VLOOKUP($O$114,'D_Ch-5-1'!$B$5:$P$54,MATCH("dont Etab actifs sphère présentielle public  N-1",'D_Ch-5-1'!$B$5:$P$5,0),FALSE)/VLOOKUP($O$114,'D_Ch-5-1'!$B$5:$P$54,MATCH("Total etab actifs N-1",'D_Ch-5-1'!$B$5:$P$5,0),FALSE)</f>
        <v>2.0528978565441263E-2</v>
      </c>
      <c r="S119" s="526"/>
      <c r="T119" s="403"/>
    </row>
    <row r="120" spans="1:21" ht="15.75" thickTop="1">
      <c r="A120" s="986" t="s">
        <v>984</v>
      </c>
      <c r="B120" s="987"/>
      <c r="C120" s="987"/>
      <c r="D120" s="988"/>
      <c r="E120" s="989" t="s">
        <v>1102</v>
      </c>
      <c r="F120" s="991"/>
      <c r="G120" s="527"/>
      <c r="H120" s="519">
        <f>VLOOKUP($H$114,'D_Ch-5-1'!$B$5:$P$54,MATCH("dont postes actifs sphère productive privé N-1",'D_Ch-5-1'!$B$5:$P$5,0),FALSE)/VLOOKUP($H$114,'D_Ch-5-1'!$B$5:$P$54,MATCH("Total Effectifs actifs N-1",'D_Ch-5-1'!$B$5:$P$5,0),FALSE)</f>
        <v>0.3256187572838547</v>
      </c>
      <c r="I120" s="447"/>
      <c r="J120" s="527"/>
      <c r="K120" s="519">
        <f>VLOOKUP($H$114,'D_Ch-5-1'!$B$5:$P$54,MATCH("dont Etab actifs sphère productive privé N-1",'D_Ch-5-1'!$B$5:$P$5,0),FALSE)/VLOOKUP($H$114,'D_Ch-5-1'!$B$5:$P$54,MATCH("Total etab actifs N-1",'D_Ch-5-1'!$B$5:$P$5,0),FALSE)</f>
        <v>0.39419604702911215</v>
      </c>
      <c r="L120" s="447"/>
      <c r="M120" s="403"/>
      <c r="N120" s="527"/>
      <c r="O120" s="519">
        <f>VLOOKUP($O$114,'D_Ch-5-1'!$B$5:$P$54,MATCH("dont postes actifs sphère productive privé N-1",'D_Ch-5-1'!$B$5:$P$5,0),FALSE)/VLOOKUP($O$114,'D_Ch-5-1'!$B$5:$P$54,MATCH("Total Effectifs actifs N-1",'D_Ch-5-1'!$B$5:$P$5,0),FALSE)</f>
        <v>0.38462053926139222</v>
      </c>
      <c r="P120" s="447"/>
      <c r="Q120" s="527"/>
      <c r="R120" s="519">
        <f>VLOOKUP($O$114,'D_Ch-5-1'!$B$5:$P$54,MATCH("dont Etab actifs sphère productive privé N-1",'D_Ch-5-1'!$B$5:$P$5,0),FALSE)/VLOOKUP($O$114,'D_Ch-5-1'!$B$5:$P$54,MATCH("Total etab actifs N-1",'D_Ch-5-1'!$B$5:$P$5,0),FALSE)</f>
        <v>0.39844779068375047</v>
      </c>
      <c r="S120" s="447"/>
      <c r="T120" s="403"/>
    </row>
    <row r="121" spans="1:21">
      <c r="A121" s="989"/>
      <c r="B121" s="990"/>
      <c r="C121" s="990"/>
      <c r="D121" s="991"/>
      <c r="E121" s="992" t="s">
        <v>1103</v>
      </c>
      <c r="F121" s="993"/>
      <c r="G121" s="473"/>
      <c r="H121" s="528">
        <f>VLOOKUP($H$114,'D_Ch-5-1'!$B$5:$P$54,MATCH("dont Effectifs sphère productive public N-1",'D_Ch-5-1'!$B$5:$P$5,0),FALSE)/VLOOKUP($H$114,'D_Ch-5-1'!$B$5:$P$54,MATCH("Total Effectifs actifs N-1",'D_Ch-5-1'!$B$5:$P$5,0),FALSE)</f>
        <v>6.4767322679975684E-3</v>
      </c>
      <c r="I121" s="475"/>
      <c r="J121" s="473"/>
      <c r="K121" s="528">
        <f>VLOOKUP($H$114,'D_Ch-5-1'!$B$5:$P$54,MATCH("dont Etab actifs sphère productive public N-1",'D_Ch-5-1'!$B$5:$P$5,0),FALSE)/VLOOKUP($H$114,'D_Ch-5-1'!$B$5:$P$54,MATCH("Total etab actifs N-1",'D_Ch-5-1'!$B$5:$P$5,0),FALSE)</f>
        <v>3.5418126381114439E-4</v>
      </c>
      <c r="L121" s="475"/>
      <c r="M121" s="403"/>
      <c r="N121" s="473"/>
      <c r="O121" s="528">
        <f>VLOOKUP($O$114,'D_Ch-5-1'!$B$5:$P$54,MATCH("dont Effectifs sphère productive public N-1",'D_Ch-5-1'!$B$5:$P$5,0),FALSE)/VLOOKUP($O$114,'D_Ch-5-1'!$B$5:$P$54,MATCH("Total Effectifs actifs N-1",'D_Ch-5-1'!$B$5:$P$5,0),FALSE)</f>
        <v>9.8007493677090291E-3</v>
      </c>
      <c r="P121" s="475"/>
      <c r="Q121" s="473"/>
      <c r="R121" s="528">
        <f>VLOOKUP($O114,'D_Ch-5-1'!$B$5:$P$54,MATCH("dont Etab actifs sphère productive public N-1",'D_Ch-5-1'!$B$5:$P$5,0),FALSE)/VLOOKUP($O$114,'D_Ch-5-1'!$B$5:$P$54,MATCH("Total etab actifs N-1",'D_Ch-5-1'!$B$5:$P$5,0),FALSE)</f>
        <v>4.9395282002155433E-4</v>
      </c>
      <c r="S121" s="475"/>
      <c r="T121" s="403"/>
    </row>
    <row r="122" spans="1:21">
      <c r="A122" s="403"/>
      <c r="B122" s="403"/>
      <c r="C122" s="403"/>
      <c r="D122" s="403"/>
      <c r="E122" s="403"/>
      <c r="F122" s="403"/>
      <c r="G122" s="403"/>
      <c r="H122" s="403"/>
      <c r="I122" s="403"/>
      <c r="J122" s="403"/>
      <c r="K122" s="403"/>
      <c r="L122" s="403"/>
      <c r="M122" s="403"/>
      <c r="N122" s="403"/>
      <c r="O122" s="403"/>
      <c r="P122" s="403"/>
      <c r="Q122" s="403"/>
      <c r="R122" s="403"/>
      <c r="S122" s="403"/>
      <c r="T122" s="403"/>
    </row>
    <row r="123" spans="1:21">
      <c r="A123" s="471"/>
      <c r="B123" s="471"/>
      <c r="C123" s="471"/>
      <c r="D123" s="471"/>
      <c r="E123" s="471"/>
      <c r="F123" s="471"/>
      <c r="G123" s="471"/>
      <c r="H123" s="471"/>
      <c r="I123" s="471"/>
      <c r="J123" s="471"/>
      <c r="K123" s="471"/>
      <c r="L123" s="471"/>
      <c r="M123" s="471"/>
      <c r="N123" s="471"/>
      <c r="O123" s="471"/>
      <c r="P123" s="405"/>
      <c r="Q123" s="405"/>
      <c r="R123" s="405"/>
      <c r="S123" s="405"/>
      <c r="T123" s="405"/>
    </row>
    <row r="124" spans="1:21">
      <c r="A124" s="399"/>
      <c r="B124" s="399"/>
      <c r="C124" s="399"/>
      <c r="D124" s="399"/>
      <c r="E124" s="399"/>
      <c r="F124" s="399"/>
      <c r="G124" s="399"/>
      <c r="H124" s="399"/>
      <c r="I124" s="399"/>
      <c r="J124" s="399"/>
      <c r="K124" s="399"/>
      <c r="L124" s="399"/>
      <c r="M124" s="399"/>
      <c r="N124" s="399"/>
      <c r="O124" s="399"/>
      <c r="P124" s="407"/>
      <c r="Q124" s="405"/>
      <c r="R124" s="405"/>
      <c r="S124" s="405"/>
      <c r="T124" s="405"/>
    </row>
    <row r="125" spans="1:21">
      <c r="A125" s="529"/>
      <c r="B125" s="529" t="s">
        <v>1102</v>
      </c>
      <c r="C125" s="529" t="s">
        <v>1103</v>
      </c>
      <c r="D125" s="529" t="s">
        <v>1102</v>
      </c>
      <c r="E125" s="529" t="s">
        <v>1103</v>
      </c>
      <c r="F125" s="529"/>
      <c r="G125" s="529"/>
      <c r="H125" s="529"/>
      <c r="I125" s="529"/>
      <c r="J125" s="529"/>
      <c r="K125" s="529" t="s">
        <v>980</v>
      </c>
      <c r="L125" s="529" t="s">
        <v>981</v>
      </c>
      <c r="M125" s="529" t="s">
        <v>980</v>
      </c>
      <c r="N125" s="529" t="s">
        <v>999</v>
      </c>
      <c r="O125" s="529"/>
      <c r="P125" s="529"/>
      <c r="Q125" s="756"/>
      <c r="R125" s="405"/>
      <c r="S125" s="405"/>
      <c r="T125" s="405"/>
    </row>
    <row r="126" spans="1:21">
      <c r="A126" s="529" t="str">
        <f>H114</f>
        <v>AU Bordeaux</v>
      </c>
      <c r="B126" s="531">
        <f>VLOOKUP($H$114,'D_Ch-5-1'!$B$5:$P$54,MATCH("dont postes actifs sphère présentielle privé  N-1",'D_Ch-5-1'!$B$5:$P$5,0),FALSE)</f>
        <v>196073</v>
      </c>
      <c r="C126" s="531">
        <f>VLOOKUP($H$114,'D_Ch-5-1'!$B$5:$P$54,MATCH("dont Effectifs sphère présentielle public N-1",'D_Ch-5-1'!$B$5:$P$5,0),FALSE)</f>
        <v>108245</v>
      </c>
      <c r="D126" s="531">
        <f>VLOOKUP($H$114,'D_Ch-5-1'!$B$5:$P$54,MATCH("dont postes actifs sphère productive privé N-1",'D_Ch-5-1'!$B$5:$P$5,0),FALSE)</f>
        <v>148362</v>
      </c>
      <c r="E126" s="532">
        <f>VLOOKUP($H$114,'D_Ch-5-1'!$B$5:$P$54,MATCH("dont Effectifs sphère productive public N-1",'D_Ch-5-1'!$B$5:$P$5,0),FALSE)</f>
        <v>2951</v>
      </c>
      <c r="F126" s="533"/>
      <c r="G126" s="533"/>
      <c r="H126" s="533"/>
      <c r="I126" s="533"/>
      <c r="J126" s="529" t="str">
        <f>H114</f>
        <v>AU Bordeaux</v>
      </c>
      <c r="K126" s="531">
        <f>VLOOKUP($H$114,'D_Ch-5-1'!$B$5:$P$54,MATCH("dont Etab actifs sphère présentielle privé  N-1",'D_Ch-5-1'!$B$5:$P$5,0),FALSE)</f>
        <v>76333</v>
      </c>
      <c r="L126" s="532">
        <f>VLOOKUP($H$114,'D_Ch-5-1'!$B$5:$P$54,MATCH("dont Etab actifs sphère présentielle public  N-1",'D_Ch-5-1'!$B$5:$P$5,0),FALSE)</f>
        <v>2301</v>
      </c>
      <c r="M126" s="531">
        <f>VLOOKUP($H$114,'D_Ch-5-1'!$B$5:$P$54,MATCH("dont Etab actifs sphère productive privé N-1",'D_Ch-5-1'!$B$5:$P$5,0),FALSE)</f>
        <v>51197</v>
      </c>
      <c r="N126" s="532">
        <f>VLOOKUP($H$114,'D_Ch-5-1'!$B$5:$P$54,MATCH("dont Etab actifs sphère productive public N-1",'D_Ch-5-1'!$B$5:$P$5,0),FALSE)</f>
        <v>46</v>
      </c>
      <c r="O126" s="529"/>
      <c r="P126" s="529"/>
      <c r="Q126" s="756"/>
      <c r="R126" s="405"/>
      <c r="S126" s="405"/>
      <c r="T126" s="405"/>
    </row>
    <row r="127" spans="1:21">
      <c r="A127" s="529" t="str">
        <f>O114</f>
        <v>AU Toulouse</v>
      </c>
      <c r="B127" s="531">
        <f>VLOOKUP($O$114,'D_Ch-5-1'!$B$5:$P$54,MATCH("dont postes actifs sphère présentielle privé  N-1",'D_Ch-5-1'!$B$5:$P$5,0),FALSE)</f>
        <v>201856</v>
      </c>
      <c r="C127" s="531">
        <f>VLOOKUP($O$114,'D_Ch-5-1'!$B$5:$P$54,MATCH("dont Effectifs sphère présentielle public N-1",'D_Ch-5-1'!$B$5:$P$5,0),FALSE)</f>
        <v>114442</v>
      </c>
      <c r="D127" s="531">
        <f>VLOOKUP($O$114,'D_Ch-5-1'!$B$5:$P$54,MATCH("dont postes actifs sphère productive privé N-1",'D_Ch-5-1'!$B$5:$P$5,0),FALSE)</f>
        <v>200890</v>
      </c>
      <c r="E127" s="532">
        <f>VLOOKUP($O$114,'D_Ch-5-1'!$B$5:$P$54,MATCH("dont Effectifs sphère productive public N-1",'D_Ch-5-1'!$B$5:$P$5,0),FALSE)</f>
        <v>5119</v>
      </c>
      <c r="F127" s="533"/>
      <c r="G127" s="533"/>
      <c r="H127" s="533"/>
      <c r="I127" s="533"/>
      <c r="J127" s="529" t="str">
        <f>O114</f>
        <v>AU Toulouse</v>
      </c>
      <c r="K127" s="531">
        <f>VLOOKUP($O$114,'D_Ch-5-1'!$B$5:$P$54,MATCH("dont Etab actifs sphère présentielle privé  N-1",'D_Ch-5-1'!$B$5:$P$5,0),FALSE)</f>
        <v>77568</v>
      </c>
      <c r="L127" s="532">
        <f>VLOOKUP($O$114,'D_Ch-5-1'!$B$5:$P$54,MATCH("dont Etab actifs sphère présentielle public  N-1",'D_Ch-5-1'!$B$5:$P$5,0),FALSE)</f>
        <v>2743</v>
      </c>
      <c r="M127" s="531">
        <f>VLOOKUP($O$114,'D_Ch-5-1'!$B$5:$P$54,MATCH("dont Etab actifs sphère productive privé N-1",'D_Ch-5-1'!$B$5:$P$5,0),FALSE)</f>
        <v>53239</v>
      </c>
      <c r="N127" s="532">
        <f>VLOOKUP($O114,'D_Ch-5-1'!$B$5:$P$54,MATCH("dont Etab actifs sphère productive public N-1",'D_Ch-5-1'!$B$5:$P$5,0),FALSE)</f>
        <v>66</v>
      </c>
      <c r="O127" s="529"/>
      <c r="P127" s="529"/>
      <c r="Q127" s="756"/>
      <c r="R127" s="405"/>
      <c r="S127" s="405"/>
      <c r="T127" s="405"/>
    </row>
    <row r="128" spans="1:21">
      <c r="A128" s="529"/>
      <c r="B128" s="529"/>
      <c r="C128" s="529"/>
      <c r="D128" s="529"/>
      <c r="E128" s="529"/>
      <c r="F128" s="529"/>
      <c r="G128" s="529"/>
      <c r="H128" s="529"/>
      <c r="I128" s="529"/>
      <c r="J128" s="529"/>
      <c r="K128" s="529"/>
      <c r="L128" s="529"/>
      <c r="M128" s="529"/>
      <c r="N128" s="529"/>
      <c r="O128" s="529"/>
      <c r="P128" s="529"/>
      <c r="Q128" s="756"/>
      <c r="R128" s="405"/>
      <c r="S128" s="405"/>
      <c r="T128" s="405"/>
    </row>
    <row r="129" spans="1:20">
      <c r="A129" s="405"/>
      <c r="B129" s="405"/>
      <c r="C129" s="405"/>
      <c r="D129" s="405"/>
      <c r="E129" s="405"/>
      <c r="F129" s="405"/>
      <c r="G129" s="405"/>
      <c r="H129" s="405"/>
      <c r="I129" s="405"/>
      <c r="J129" s="405"/>
      <c r="K129" s="405"/>
      <c r="L129" s="405"/>
      <c r="M129" s="405"/>
      <c r="N129" s="405"/>
      <c r="O129" s="405"/>
      <c r="P129" s="405"/>
      <c r="Q129" s="405"/>
      <c r="R129" s="405"/>
      <c r="S129" s="405"/>
      <c r="T129" s="405"/>
    </row>
    <row r="130" spans="1:20">
      <c r="A130" s="405"/>
      <c r="B130" s="405"/>
      <c r="C130" s="405"/>
      <c r="D130" s="405"/>
      <c r="E130" s="405"/>
      <c r="F130" s="405"/>
      <c r="G130" s="405"/>
      <c r="H130" s="405"/>
      <c r="I130" s="405"/>
      <c r="J130" s="405"/>
      <c r="K130" s="405"/>
      <c r="L130" s="405"/>
      <c r="M130" s="405"/>
      <c r="N130" s="405"/>
      <c r="O130" s="405"/>
      <c r="P130" s="405"/>
      <c r="Q130" s="405"/>
      <c r="R130" s="405"/>
      <c r="S130" s="405"/>
      <c r="T130" s="405"/>
    </row>
    <row r="131" spans="1:20">
      <c r="A131" s="405"/>
      <c r="B131" s="405"/>
      <c r="C131" s="405"/>
      <c r="D131" s="405"/>
      <c r="E131" s="405"/>
      <c r="F131" s="405"/>
      <c r="G131" s="405"/>
      <c r="H131" s="405"/>
      <c r="I131" s="405"/>
      <c r="J131" s="405"/>
      <c r="K131" s="405"/>
      <c r="L131" s="405"/>
      <c r="M131" s="405"/>
      <c r="N131" s="405"/>
      <c r="O131" s="405"/>
      <c r="P131" s="405"/>
      <c r="Q131" s="405"/>
      <c r="R131" s="405"/>
      <c r="S131" s="405"/>
      <c r="T131" s="405"/>
    </row>
    <row r="132" spans="1:20">
      <c r="A132" s="403"/>
      <c r="B132" s="403"/>
      <c r="C132" s="403"/>
      <c r="D132" s="403"/>
      <c r="E132" s="403"/>
      <c r="F132" s="403"/>
      <c r="G132" s="403"/>
      <c r="H132" s="403"/>
      <c r="I132" s="403"/>
      <c r="J132" s="403"/>
      <c r="K132" s="403"/>
      <c r="L132" s="403"/>
      <c r="M132" s="403"/>
      <c r="N132" s="403"/>
      <c r="O132" s="403"/>
      <c r="P132" s="403"/>
      <c r="Q132" s="403"/>
      <c r="R132" s="403"/>
      <c r="S132" s="403"/>
      <c r="T132" s="403"/>
    </row>
    <row r="133" spans="1:20">
      <c r="A133" s="403"/>
      <c r="B133" s="403"/>
      <c r="C133" s="403"/>
      <c r="D133" s="403"/>
      <c r="E133" s="403"/>
      <c r="F133" s="403"/>
      <c r="G133" s="403"/>
      <c r="H133" s="403"/>
      <c r="I133" s="403"/>
      <c r="J133" s="403"/>
      <c r="K133" s="403"/>
      <c r="L133" s="403"/>
      <c r="M133" s="403"/>
      <c r="N133" s="403"/>
      <c r="O133" s="403"/>
      <c r="P133" s="403"/>
      <c r="Q133" s="403"/>
      <c r="R133" s="403"/>
      <c r="S133" s="403"/>
      <c r="T133" s="403"/>
    </row>
    <row r="134" spans="1:20">
      <c r="A134" s="403"/>
      <c r="B134" s="403"/>
      <c r="C134" s="403"/>
      <c r="D134" s="403"/>
      <c r="E134" s="403"/>
      <c r="F134" s="403"/>
      <c r="G134" s="403"/>
      <c r="H134" s="403"/>
      <c r="I134" s="403"/>
      <c r="J134" s="403"/>
      <c r="K134" s="403"/>
      <c r="L134" s="403"/>
      <c r="M134" s="403"/>
      <c r="N134" s="403"/>
      <c r="O134" s="403"/>
      <c r="P134" s="403"/>
      <c r="Q134" s="403"/>
      <c r="R134" s="403"/>
      <c r="S134" s="403"/>
      <c r="T134" s="403"/>
    </row>
    <row r="135" spans="1:20">
      <c r="A135" s="403"/>
      <c r="B135" s="403"/>
      <c r="C135" s="403"/>
      <c r="D135" s="403"/>
      <c r="E135" s="403"/>
      <c r="F135" s="403"/>
      <c r="G135" s="403"/>
      <c r="H135" s="403"/>
      <c r="I135" s="403"/>
      <c r="J135" s="403"/>
      <c r="K135" s="403"/>
      <c r="L135" s="403"/>
      <c r="M135" s="403"/>
      <c r="N135" s="403"/>
      <c r="O135" s="403"/>
      <c r="P135" s="403"/>
      <c r="Q135" s="403"/>
      <c r="R135" s="403"/>
      <c r="S135" s="403"/>
      <c r="T135" s="403"/>
    </row>
    <row r="136" spans="1:20">
      <c r="A136" s="403"/>
      <c r="B136" s="403"/>
      <c r="C136" s="403"/>
      <c r="D136" s="403"/>
      <c r="E136" s="403"/>
      <c r="F136" s="403"/>
      <c r="G136" s="403"/>
      <c r="H136" s="403"/>
      <c r="I136" s="403"/>
      <c r="J136" s="403"/>
      <c r="K136" s="403"/>
      <c r="L136" s="403"/>
      <c r="M136" s="403"/>
      <c r="N136" s="403"/>
      <c r="O136" s="403"/>
      <c r="P136" s="403"/>
      <c r="Q136" s="403"/>
      <c r="R136" s="403"/>
      <c r="S136" s="403"/>
      <c r="T136" s="403"/>
    </row>
    <row r="137" spans="1:20">
      <c r="A137" s="403"/>
      <c r="B137" s="403"/>
      <c r="C137" s="403"/>
      <c r="D137" s="403"/>
      <c r="E137" s="403"/>
      <c r="F137" s="403"/>
      <c r="G137" s="403"/>
      <c r="H137" s="403"/>
      <c r="I137" s="403"/>
      <c r="J137" s="403"/>
      <c r="K137" s="403"/>
      <c r="L137" s="403"/>
      <c r="M137" s="403"/>
      <c r="N137" s="403"/>
      <c r="O137" s="403"/>
      <c r="P137" s="403"/>
      <c r="Q137" s="403"/>
      <c r="R137" s="403"/>
      <c r="S137" s="403"/>
      <c r="T137" s="403"/>
    </row>
    <row r="138" spans="1:20">
      <c r="A138" s="156" t="s">
        <v>1974</v>
      </c>
    </row>
    <row r="139" spans="1:20" ht="15.75" thickBot="1">
      <c r="A139" s="403"/>
      <c r="B139" s="403"/>
      <c r="C139" s="403"/>
      <c r="D139" s="403"/>
      <c r="E139" s="403"/>
      <c r="F139" s="403"/>
      <c r="G139" s="403"/>
      <c r="H139" s="403"/>
      <c r="I139" s="403"/>
      <c r="J139" s="403"/>
      <c r="K139" s="403"/>
      <c r="L139" s="403"/>
      <c r="M139" s="403"/>
      <c r="N139" s="403"/>
      <c r="O139" s="403"/>
      <c r="P139" s="403"/>
      <c r="Q139" s="403"/>
      <c r="R139" s="403"/>
      <c r="S139" s="403"/>
      <c r="T139" s="403"/>
    </row>
    <row r="140" spans="1:20" s="867" customFormat="1" ht="16.5" thickTop="1" thickBot="1">
      <c r="A140" s="403"/>
      <c r="B140" s="403"/>
      <c r="C140" s="403"/>
      <c r="D140" s="403"/>
      <c r="E140" s="403"/>
      <c r="F140" s="403"/>
      <c r="G140" s="403"/>
      <c r="H140" s="994" t="s">
        <v>61</v>
      </c>
      <c r="I140" s="995"/>
      <c r="J140" s="995"/>
      <c r="K140" s="996"/>
      <c r="L140" s="744"/>
      <c r="M140" s="744"/>
      <c r="N140" s="744"/>
      <c r="O140" s="997" t="s">
        <v>32</v>
      </c>
      <c r="P140" s="998"/>
      <c r="Q140" s="998"/>
      <c r="R140" s="999"/>
      <c r="S140" s="403"/>
      <c r="T140" s="403"/>
    </row>
    <row r="141" spans="1:20" ht="15.75" thickTop="1">
      <c r="A141" s="641"/>
      <c r="B141" s="641"/>
      <c r="C141" s="641"/>
      <c r="D141" s="641"/>
      <c r="E141" s="641"/>
      <c r="F141" s="641"/>
      <c r="G141" s="641"/>
      <c r="H141" s="641"/>
      <c r="I141" s="641"/>
      <c r="J141" s="641"/>
      <c r="K141" s="641"/>
      <c r="L141" s="641"/>
      <c r="M141" s="641"/>
      <c r="N141" s="641"/>
      <c r="O141" s="641"/>
      <c r="P141" s="641"/>
      <c r="Q141" s="641"/>
      <c r="R141" s="641"/>
      <c r="S141" s="641"/>
      <c r="T141" s="641"/>
    </row>
    <row r="142" spans="1:20">
      <c r="A142" s="399"/>
      <c r="B142" s="399"/>
      <c r="C142" s="399"/>
      <c r="D142" s="399"/>
      <c r="E142" s="399"/>
      <c r="F142" s="399"/>
      <c r="G142" s="399"/>
      <c r="H142" s="399"/>
      <c r="I142" s="399"/>
      <c r="J142" s="399"/>
      <c r="K142" s="399"/>
      <c r="L142" s="399"/>
      <c r="M142" s="399"/>
      <c r="N142" s="399"/>
      <c r="O142" s="595"/>
      <c r="P142" s="641"/>
      <c r="Q142" s="641"/>
      <c r="R142" s="641"/>
      <c r="S142" s="641"/>
      <c r="T142" s="641"/>
    </row>
    <row r="143" spans="1:20">
      <c r="A143" s="399"/>
      <c r="B143" s="399">
        <v>1975</v>
      </c>
      <c r="C143" s="399">
        <v>1982</v>
      </c>
      <c r="D143" s="399">
        <v>1990</v>
      </c>
      <c r="E143" s="399">
        <v>1999</v>
      </c>
      <c r="F143" s="399">
        <v>2009</v>
      </c>
      <c r="G143" s="399">
        <v>2014</v>
      </c>
      <c r="H143" s="399"/>
      <c r="I143" s="399"/>
      <c r="J143" s="399"/>
      <c r="K143" s="399"/>
      <c r="L143" s="399"/>
      <c r="M143" s="399"/>
      <c r="N143" s="399"/>
      <c r="O143" s="471"/>
      <c r="P143" s="405"/>
      <c r="Q143" s="405"/>
      <c r="R143" s="641"/>
      <c r="S143" s="641"/>
      <c r="T143" s="641"/>
    </row>
    <row r="144" spans="1:20">
      <c r="A144" s="529"/>
      <c r="B144" s="194" t="s">
        <v>984</v>
      </c>
      <c r="C144" s="194" t="s">
        <v>1927</v>
      </c>
      <c r="D144" s="194" t="s">
        <v>984</v>
      </c>
      <c r="E144" s="194" t="s">
        <v>1927</v>
      </c>
      <c r="F144" s="194" t="s">
        <v>984</v>
      </c>
      <c r="G144" s="194" t="s">
        <v>1927</v>
      </c>
      <c r="H144" s="194" t="s">
        <v>984</v>
      </c>
      <c r="I144" s="194" t="s">
        <v>1927</v>
      </c>
      <c r="J144" s="194" t="s">
        <v>984</v>
      </c>
      <c r="K144" s="194" t="s">
        <v>1927</v>
      </c>
      <c r="L144" s="529"/>
      <c r="M144" s="529"/>
      <c r="N144" s="529"/>
      <c r="O144" s="756"/>
      <c r="P144" s="756"/>
      <c r="Q144" s="756"/>
      <c r="R144" s="641"/>
      <c r="S144" s="641"/>
      <c r="T144" s="641"/>
    </row>
    <row r="145" spans="1:20">
      <c r="A145" s="529" t="str">
        <f>H140</f>
        <v>AU Bordeaux</v>
      </c>
      <c r="B145" s="531">
        <f>VLOOKUP($H$140,'D_Ch-5-1'!$B$235:$T$295,MATCH("Prod_75",'D_Ch-5-1'!$B$234:$T$234,0),FALSE)</f>
        <v>137285</v>
      </c>
      <c r="C145" s="531">
        <f>VLOOKUP($H$140,'D_Ch-5-1'!$B$235:$T$295,MATCH("Pres_75",'D_Ch-5-1'!$B$234:$T$234,0),FALSE)</f>
        <v>188590</v>
      </c>
      <c r="D145" s="531">
        <f>VLOOKUP($H$140,'D_Ch-5-1'!$B$235:$T$295,MATCH("Prod_82",'D_Ch-5-1'!$B$234:$T$234,0),FALSE)</f>
        <v>131888</v>
      </c>
      <c r="E145" s="531">
        <f>VLOOKUP($H$140,'D_Ch-5-1'!$B$235:$T$295,MATCH("Pres_82",'D_Ch-5-1'!$B$234:$T$234,0),FALSE)</f>
        <v>211576</v>
      </c>
      <c r="F145" s="531">
        <f>VLOOKUP($H$140,'D_Ch-5-1'!$B$235:$T$295,MATCH("Prod_90",'D_Ch-5-1'!$B$234:$T$234,0),FALSE)</f>
        <v>135838</v>
      </c>
      <c r="G145" s="531">
        <f>VLOOKUP($H$140,'D_Ch-5-1'!$B$235:$T$295,MATCH("Pres_90",'D_Ch-5-1'!$B$234:$T$234,0),FALSE)</f>
        <v>238475</v>
      </c>
      <c r="H145" s="531">
        <f>VLOOKUP($H$140,'D_Ch-5-1'!$B$235:$T$295,MATCH("Prod_99",'D_Ch-5-1'!$B$234:$T$234,0),FALSE)</f>
        <v>141053</v>
      </c>
      <c r="I145" s="531">
        <f>VLOOKUP($H$140,'D_Ch-5-1'!$B$235:$T$295,MATCH("Pres_99",'D_Ch-5-1'!$B$234:$T$234,0),FALSE)</f>
        <v>260374</v>
      </c>
      <c r="J145" s="531">
        <f>VLOOKUP($H$140,'D_Ch-5-1'!$B$235:$T$295,MATCH("Prod_09",'D_Ch-5-1'!$B$234:$T$234,0),FALSE)</f>
        <v>164104.04729890099</v>
      </c>
      <c r="K145" s="531">
        <f>VLOOKUP($H$140,'D_Ch-5-1'!$B$235:$T$295,MATCH("Pres_09",'D_Ch-5-1'!$B$234:$T$234,0),FALSE)</f>
        <v>326947.424690641</v>
      </c>
      <c r="L145" s="531">
        <f>VLOOKUP($H$140,'D_Ch-5-1'!$B$235:$T$295,MATCH("Prod_14",'D_Ch-5-1'!$B$234:$T$234,0),FALSE)</f>
        <v>167562.31509242699</v>
      </c>
      <c r="M145" s="531">
        <f>VLOOKUP($H$140,'D_Ch-5-1'!$B$235:$T$295,MATCH("Pres_14",'D_Ch-5-1'!$B$234:$T$234,0),FALSE)</f>
        <v>349776.533760202</v>
      </c>
      <c r="N145" s="532"/>
      <c r="O145" s="756"/>
      <c r="P145" s="756"/>
      <c r="Q145" s="756"/>
      <c r="R145" s="641"/>
      <c r="S145" s="641"/>
      <c r="T145" s="641"/>
    </row>
    <row r="146" spans="1:20">
      <c r="A146" s="529" t="str">
        <f>O114</f>
        <v>AU Toulouse</v>
      </c>
      <c r="B146" s="531">
        <f>VLOOKUP($O$140,'D_Ch-5-1'!$B$235:$T$295,MATCH("Prod_75",'D_Ch-5-1'!$B$234:$T$234,0),FALSE)</f>
        <v>111410</v>
      </c>
      <c r="C146" s="531">
        <f>VLOOKUP($O$140,'D_Ch-5-1'!$B$235:$T$295,MATCH("Pres_75",'D_Ch-5-1'!$B$234:$T$234,0),FALSE)</f>
        <v>168610</v>
      </c>
      <c r="D146" s="531">
        <f>VLOOKUP($O$140,'D_Ch-5-1'!$B$235:$T$295,MATCH("Prod_82",'D_Ch-5-1'!$B$234:$T$234,0),FALSE)</f>
        <v>115980</v>
      </c>
      <c r="E146" s="531">
        <f>VLOOKUP($O$140,'D_Ch-5-1'!$B$235:$T$295,MATCH("Pres_82",'D_Ch-5-1'!$B$234:$T$234,0),FALSE)</f>
        <v>191628</v>
      </c>
      <c r="F146" s="531">
        <f>VLOOKUP($O$140,'D_Ch-5-1'!$B$235:$T$295,MATCH("Prod_90",'D_Ch-5-1'!$B$234:$T$234,0),FALSE)</f>
        <v>138211</v>
      </c>
      <c r="G146" s="531">
        <f>VLOOKUP($O$140,'D_Ch-5-1'!$B$235:$T$295,MATCH("Pres_90",'D_Ch-5-1'!$B$234:$T$234,0),FALSE)</f>
        <v>227822</v>
      </c>
      <c r="H146" s="531">
        <f>VLOOKUP($O$140,'D_Ch-5-1'!$B$235:$T$295,MATCH("Prod_99",'D_Ch-5-1'!$B$234:$T$234,0),FALSE)</f>
        <v>153943</v>
      </c>
      <c r="I146" s="531">
        <f>VLOOKUP($O$140,'D_Ch-5-1'!$B$235:$T$295,MATCH("Pres_99",'D_Ch-5-1'!$B$234:$T$234,0),FALSE)</f>
        <v>262628</v>
      </c>
      <c r="J146" s="531">
        <f>VLOOKUP($O$140,'D_Ch-5-1'!$B$235:$T$295,MATCH("Prod_09",'D_Ch-5-1'!$B$234:$T$234,0),FALSE)</f>
        <v>211289.12237073801</v>
      </c>
      <c r="K146" s="531">
        <f>VLOOKUP($O$140,'D_Ch-5-1'!$B$235:$T$295,MATCH("Pres_09",'D_Ch-5-1'!$B$234:$T$234,0),FALSE)</f>
        <v>344454.386221967</v>
      </c>
      <c r="L146" s="531">
        <f>VLOOKUP($O$140,'D_Ch-5-1'!$B$235:$T$295,MATCH("Prod_14",'D_Ch-5-1'!$B$234:$T$234,0),FALSE)</f>
        <v>226841.56028870799</v>
      </c>
      <c r="M146" s="531">
        <f>VLOOKUP($O$140,'D_Ch-5-1'!$B$235:$T$295,MATCH("Pres_14",'D_Ch-5-1'!$B$234:$T$234,0),FALSE)</f>
        <v>364798.94203825301</v>
      </c>
      <c r="N146" s="532"/>
      <c r="O146" s="756"/>
      <c r="P146" s="756"/>
      <c r="Q146" s="756"/>
      <c r="R146" s="641"/>
      <c r="S146" s="641"/>
      <c r="T146" s="641"/>
    </row>
    <row r="147" spans="1:20">
      <c r="A147" s="529"/>
      <c r="B147" s="529"/>
      <c r="C147" s="529"/>
      <c r="D147" s="529"/>
      <c r="E147" s="529"/>
      <c r="F147" s="529"/>
      <c r="G147" s="529"/>
      <c r="H147" s="529"/>
      <c r="I147" s="529"/>
      <c r="J147" s="529"/>
      <c r="K147" s="529"/>
      <c r="L147" s="529"/>
      <c r="M147" s="529"/>
      <c r="N147" s="529"/>
      <c r="O147" s="756"/>
      <c r="P147" s="756"/>
      <c r="Q147" s="756"/>
      <c r="R147" s="641"/>
      <c r="S147" s="641"/>
      <c r="T147" s="641"/>
    </row>
    <row r="148" spans="1:20">
      <c r="A148" s="641"/>
      <c r="B148" s="641"/>
      <c r="C148" s="641"/>
      <c r="D148" s="641"/>
      <c r="E148" s="641"/>
      <c r="F148" s="641"/>
      <c r="G148" s="641"/>
      <c r="H148" s="641"/>
      <c r="I148" s="641"/>
      <c r="J148" s="641"/>
      <c r="K148" s="641"/>
      <c r="L148" s="641"/>
      <c r="M148" s="641"/>
      <c r="N148" s="641"/>
      <c r="O148" s="641"/>
      <c r="P148" s="641"/>
      <c r="Q148" s="641"/>
      <c r="R148" s="641"/>
      <c r="S148" s="641"/>
      <c r="T148" s="641"/>
    </row>
    <row r="149" spans="1:20"/>
    <row r="150" spans="1:20"/>
    <row r="151" spans="1:20"/>
    <row r="152" spans="1:20"/>
    <row r="153" spans="1:20"/>
    <row r="154" spans="1:20"/>
    <row r="155" spans="1:20"/>
    <row r="156" spans="1:20"/>
    <row r="157" spans="1:20"/>
  </sheetData>
  <sheetProtection algorithmName="SHA-512" hashValue="i2g9OnD8zT3AVHXxTYoct3yMGsOsh9emRVw1/MrtpghzJwOPeEccs6Ddai4aAB7JPFwauilVaeraSGUSfgUP8w==" saltValue="mZ43cxz09IZA5RxL8LLxGg==" spinCount="100000" sheet="1" objects="1" autoFilter="0"/>
  <mergeCells count="183">
    <mergeCell ref="A76:J76"/>
    <mergeCell ref="K88:L88"/>
    <mergeCell ref="S88:T88"/>
    <mergeCell ref="Q88:R88"/>
    <mergeCell ref="M88:N88"/>
    <mergeCell ref="A29:C29"/>
    <mergeCell ref="I29:L29"/>
    <mergeCell ref="O29:R29"/>
    <mergeCell ref="Q32:S32"/>
    <mergeCell ref="A33:E33"/>
    <mergeCell ref="F33:H33"/>
    <mergeCell ref="F30:H30"/>
    <mergeCell ref="I30:K30"/>
    <mergeCell ref="N30:P30"/>
    <mergeCell ref="Q30:S30"/>
    <mergeCell ref="A31:E31"/>
    <mergeCell ref="F31:H31"/>
    <mergeCell ref="I31:K31"/>
    <mergeCell ref="N31:P31"/>
    <mergeCell ref="Q31:S31"/>
    <mergeCell ref="I33:K33"/>
    <mergeCell ref="N33:P33"/>
    <mergeCell ref="A32:E32"/>
    <mergeCell ref="F32:H32"/>
    <mergeCell ref="I32:K32"/>
    <mergeCell ref="N32:P32"/>
    <mergeCell ref="A11:G11"/>
    <mergeCell ref="A12:G12"/>
    <mergeCell ref="H11:J11"/>
    <mergeCell ref="H12:J12"/>
    <mergeCell ref="F1:T4"/>
    <mergeCell ref="A6:T7"/>
    <mergeCell ref="A10:G10"/>
    <mergeCell ref="H10:J10"/>
    <mergeCell ref="A9:T9"/>
    <mergeCell ref="A37:E37"/>
    <mergeCell ref="G37:H37"/>
    <mergeCell ref="Q33:S33"/>
    <mergeCell ref="N37:O37"/>
    <mergeCell ref="A35:E35"/>
    <mergeCell ref="G35:H35"/>
    <mergeCell ref="N35:O35"/>
    <mergeCell ref="A36:E36"/>
    <mergeCell ref="G36:H36"/>
    <mergeCell ref="N36:O36"/>
    <mergeCell ref="F73:K73"/>
    <mergeCell ref="N73:S73"/>
    <mergeCell ref="D47:E47"/>
    <mergeCell ref="A48:C48"/>
    <mergeCell ref="D48:E48"/>
    <mergeCell ref="A49:C49"/>
    <mergeCell ref="D49:E49"/>
    <mergeCell ref="A44:C44"/>
    <mergeCell ref="D44:E44"/>
    <mergeCell ref="A45:C45"/>
    <mergeCell ref="D45:E45"/>
    <mergeCell ref="A46:C46"/>
    <mergeCell ref="D46:E46"/>
    <mergeCell ref="E64:F65"/>
    <mergeCell ref="G64:I65"/>
    <mergeCell ref="J64:L65"/>
    <mergeCell ref="M64:N65"/>
    <mergeCell ref="O64:Q65"/>
    <mergeCell ref="R64:T65"/>
    <mergeCell ref="J69:L69"/>
    <mergeCell ref="M69:N69"/>
    <mergeCell ref="O69:Q69"/>
    <mergeCell ref="R69:T69"/>
    <mergeCell ref="E68:F68"/>
    <mergeCell ref="P40:Q40"/>
    <mergeCell ref="R40:S40"/>
    <mergeCell ref="F53:T56"/>
    <mergeCell ref="A58:T59"/>
    <mergeCell ref="A61:C61"/>
    <mergeCell ref="I61:L61"/>
    <mergeCell ref="O61:R61"/>
    <mergeCell ref="H40:I40"/>
    <mergeCell ref="J40:K40"/>
    <mergeCell ref="L40:M40"/>
    <mergeCell ref="N40:O40"/>
    <mergeCell ref="A50:C50"/>
    <mergeCell ref="D50:E50"/>
    <mergeCell ref="A51:C51"/>
    <mergeCell ref="D51:E51"/>
    <mergeCell ref="A47:C47"/>
    <mergeCell ref="D40:E40"/>
    <mergeCell ref="A41:C41"/>
    <mergeCell ref="D41:E41"/>
    <mergeCell ref="A42:C42"/>
    <mergeCell ref="D42:E42"/>
    <mergeCell ref="A43:C43"/>
    <mergeCell ref="D43:E43"/>
    <mergeCell ref="K78:L78"/>
    <mergeCell ref="M78:N78"/>
    <mergeCell ref="Q78:R78"/>
    <mergeCell ref="S78:T78"/>
    <mergeCell ref="K79:L79"/>
    <mergeCell ref="M79:N79"/>
    <mergeCell ref="Q79:R79"/>
    <mergeCell ref="S79:T79"/>
    <mergeCell ref="M76:N76"/>
    <mergeCell ref="S76:T76"/>
    <mergeCell ref="K77:L77"/>
    <mergeCell ref="M77:N77"/>
    <mergeCell ref="Q77:R77"/>
    <mergeCell ref="S77:T77"/>
    <mergeCell ref="Q76:R76"/>
    <mergeCell ref="K76:L76"/>
    <mergeCell ref="Q82:R82"/>
    <mergeCell ref="S82:T82"/>
    <mergeCell ref="K83:L83"/>
    <mergeCell ref="M83:N83"/>
    <mergeCell ref="Q83:R83"/>
    <mergeCell ref="S83:T83"/>
    <mergeCell ref="K80:L80"/>
    <mergeCell ref="M80:N80"/>
    <mergeCell ref="Q80:R80"/>
    <mergeCell ref="S80:T80"/>
    <mergeCell ref="K81:L81"/>
    <mergeCell ref="M81:N81"/>
    <mergeCell ref="Q81:R81"/>
    <mergeCell ref="S81:T81"/>
    <mergeCell ref="K87:L87"/>
    <mergeCell ref="M87:N87"/>
    <mergeCell ref="Q87:R87"/>
    <mergeCell ref="S87:T87"/>
    <mergeCell ref="K84:L84"/>
    <mergeCell ref="M84:N84"/>
    <mergeCell ref="Q84:R84"/>
    <mergeCell ref="S84:T84"/>
    <mergeCell ref="E67:F67"/>
    <mergeCell ref="G67:I67"/>
    <mergeCell ref="J67:L67"/>
    <mergeCell ref="M67:N67"/>
    <mergeCell ref="O67:Q67"/>
    <mergeCell ref="R67:T67"/>
    <mergeCell ref="K86:L86"/>
    <mergeCell ref="M86:N86"/>
    <mergeCell ref="Q86:R86"/>
    <mergeCell ref="S86:T86"/>
    <mergeCell ref="K85:L85"/>
    <mergeCell ref="M85:N85"/>
    <mergeCell ref="Q85:R85"/>
    <mergeCell ref="S85:T85"/>
    <mergeCell ref="K82:L82"/>
    <mergeCell ref="M82:N82"/>
    <mergeCell ref="E69:F69"/>
    <mergeCell ref="G69:I69"/>
    <mergeCell ref="G68:I68"/>
    <mergeCell ref="J68:L68"/>
    <mergeCell ref="M68:N68"/>
    <mergeCell ref="O68:Q68"/>
    <mergeCell ref="R68:T68"/>
    <mergeCell ref="E66:F66"/>
    <mergeCell ref="G66:I66"/>
    <mergeCell ref="J66:L66"/>
    <mergeCell ref="M66:N66"/>
    <mergeCell ref="O66:Q66"/>
    <mergeCell ref="R66:T66"/>
    <mergeCell ref="H140:K140"/>
    <mergeCell ref="O140:R140"/>
    <mergeCell ref="A111:T112"/>
    <mergeCell ref="F106:T109"/>
    <mergeCell ref="A14:T14"/>
    <mergeCell ref="A118:D119"/>
    <mergeCell ref="E118:F118"/>
    <mergeCell ref="E119:F119"/>
    <mergeCell ref="A120:D121"/>
    <mergeCell ref="E120:F120"/>
    <mergeCell ref="E121:F121"/>
    <mergeCell ref="A114:C114"/>
    <mergeCell ref="H114:K114"/>
    <mergeCell ref="O114:R114"/>
    <mergeCell ref="G117:I117"/>
    <mergeCell ref="J117:L117"/>
    <mergeCell ref="N117:P117"/>
    <mergeCell ref="Q117:S117"/>
    <mergeCell ref="E70:F70"/>
    <mergeCell ref="G70:I70"/>
    <mergeCell ref="J70:L70"/>
    <mergeCell ref="M70:N70"/>
    <mergeCell ref="O70:Q70"/>
    <mergeCell ref="R70:T70"/>
  </mergeCells>
  <conditionalFormatting sqref="I36:K36">
    <cfRule type="iconSet" priority="2">
      <iconSet iconSet="5ArrowsGray">
        <cfvo type="percent" val="0"/>
        <cfvo type="num" val="-0.5"/>
        <cfvo type="num" val="-5.0000000000000001E-3"/>
        <cfvo type="num" val="2.5000000000000001E-2"/>
        <cfvo type="num" val="0.05"/>
      </iconSet>
    </cfRule>
  </conditionalFormatting>
  <conditionalFormatting sqref="P36">
    <cfRule type="iconSet" priority="1">
      <iconSet iconSet="5ArrowsGray">
        <cfvo type="percent" val="0"/>
        <cfvo type="num" val="-0.5"/>
        <cfvo type="num" val="-5.0000000000000001E-3"/>
        <cfvo type="num" val="2.5000000000000001E-2"/>
        <cfvo type="num" val="0.05"/>
      </iconSet>
    </cfRule>
  </conditionalFormatting>
  <hyperlinks>
    <hyperlink ref="A9" location="Glossaire!A205" display="Emplois salariés par secteur d'activité en 2013" xr:uid="{00000000-0004-0000-1500-000000000000}"/>
    <hyperlink ref="A8:H8" location="Glossaire!A200" display="Emplois salariés par secteur d'activité en 2013" xr:uid="{00000000-0004-0000-1500-000001000000}"/>
    <hyperlink ref="A8:I8" location="Glossaire!A205" display="Emplois salariés par secteur d'activité en 2014" xr:uid="{00000000-0004-0000-1500-000002000000}"/>
    <hyperlink ref="A10:E10" location="Glossaire!A53" display="Emploi total " xr:uid="{00000000-0004-0000-1500-000003000000}"/>
    <hyperlink ref="A11:E11" location="Glossaire!A57" display="Emploi salarié" xr:uid="{00000000-0004-0000-1500-000004000000}"/>
    <hyperlink ref="A12:E12" location="Glossaire!A65" display="Emploi salarié privé" xr:uid="{00000000-0004-0000-1500-000005000000}"/>
    <hyperlink ref="A36" location="Glossaire!A181" display="Salaire net horaire moyen" xr:uid="{00000000-0004-0000-1500-000006000000}"/>
    <hyperlink ref="A31:E31" location="Glossaire!A13" display="Emploi total " xr:uid="{00000000-0004-0000-1500-000007000000}"/>
    <hyperlink ref="A32:E32" location="Glossaire!A17" display="Emploi salarié" xr:uid="{00000000-0004-0000-1500-000008000000}"/>
    <hyperlink ref="A33:E33" location="Glossaire!A25" display="Emploi salarié privé" xr:uid="{00000000-0004-0000-1500-000009000000}"/>
    <hyperlink ref="A35:E35" location="Glossaire!A34" display="Taux d'emploi " xr:uid="{00000000-0004-0000-1500-00000A000000}"/>
    <hyperlink ref="A36:E36" location="Glossaire!A39" display="Salaire net horaire moyen" xr:uid="{00000000-0004-0000-1500-00000B000000}"/>
    <hyperlink ref="A37:E37" location="Glossaire!A46" display="Concentration de l'emploi" xr:uid="{00000000-0004-0000-1500-00000C000000}"/>
    <hyperlink ref="A62:D62" location="Glossaire!A24" display="Emploi salarié privé" xr:uid="{00000000-0004-0000-1500-00000D000000}"/>
    <hyperlink ref="A116:E116" location="Glossaire!A227" display="Sphères économiques en 2013" xr:uid="{00000000-0004-0000-1500-00000E000000}"/>
    <hyperlink ref="L75:Q75" location="Annexe!A1" display="Egalement disponible en 38 postes" xr:uid="{00000000-0004-0000-1500-00000F000000}"/>
    <hyperlink ref="L75:R75" location="Annexe!A59" display="Egalement disponible en 38 postes ici" xr:uid="{00000000-0004-0000-1500-000010000000}"/>
    <hyperlink ref="A116:F116" location="Glossaire!A79" display="Sphères économiques en 2015" xr:uid="{00000000-0004-0000-1500-000011000000}"/>
    <hyperlink ref="A9:J9" location="Glossaire!A9" display="Conjoncture Bordeaux Métropole / Emploi salarié privé" xr:uid="{00000000-0004-0000-1500-000012000000}"/>
    <hyperlink ref="A76:E76" location="Glossaire!A54" display="NAF 17 regroupée en 12 postes" xr:uid="{00000000-0004-0000-1500-000013000000}"/>
    <hyperlink ref="A75:H75" location="Glossaire!A49" display="Emploi salarié par secteur d'activité en 2015" xr:uid="{00000000-0004-0000-1500-000014000000}"/>
    <hyperlink ref="A76:F76" location="Glossaire!A54" display="NAF 17 regroupée en 12 postes" xr:uid="{00000000-0004-0000-1500-000015000000}"/>
    <hyperlink ref="A62:L62" location="Glossaire!A24" display="Emploi salarié privé : évolution selon la nomenclature  en 6 postes" xr:uid="{00000000-0004-0000-1500-000016000000}"/>
    <hyperlink ref="A10:G10" location="Glossaire!A13" display="Nombre d'emplois au T1 2017" xr:uid="{00000000-0004-0000-1500-000017000000}"/>
    <hyperlink ref="A11:G11" location="Glossaire!A13" display="Emplois créés au cours du T1 2017" xr:uid="{00000000-0004-0000-1500-000018000000}"/>
    <hyperlink ref="A12:G12" location="Glossaire!A13" display="Emplois créés en un an T1 2016 - T1 2017" xr:uid="{00000000-0004-0000-1500-000019000000}"/>
    <hyperlink ref="A62" location="Glossaire!A25" display="Emploi salarié privé : évolution selon la nomenclature en 5 postes" xr:uid="{00000000-0004-0000-1500-00001A000000}"/>
    <hyperlink ref="A62:K62" location="Glossaire!A25" display="Emploi salarié privé : évolution selon la nomenclature en 5 postes" xr:uid="{00000000-0004-0000-1500-00001B000000}"/>
    <hyperlink ref="A76:J76" location="Glossaire!A60" display="NAF 17 regroupée en 12 postes" xr:uid="{00000000-0004-0000-1500-00001C000000}"/>
    <hyperlink ref="K90" location="Glossaire!A60" display="Glossaire!A60" xr:uid="{00000000-0004-0000-1500-00001D000000}"/>
    <hyperlink ref="A90:K90" location="Glossaire!A60" display="Indice de spécialisation par rapport à la France métropolitaine" xr:uid="{00000000-0004-0000-1500-00001E000000}"/>
    <hyperlink ref="A9:T9" location="Glossaire!A10" display="Conjoncture Bordeaux Métropole / Emploi salarié privé" xr:uid="{00000000-0004-0000-1500-00001F000000}"/>
  </hyperlinks>
  <pageMargins left="0.23622047244094491" right="0.23622047244094491" top="0.55118110236220474" bottom="0.55118110236220474" header="0.11811023622047245" footer="0.11811023622047245"/>
  <pageSetup paperSize="9" fitToHeight="0" orientation="portrait" r:id="rId1"/>
  <headerFooter>
    <oddHeader>&amp;C&amp;"Arial,Gras"&amp;10Tableau de bord / Mise à jour avril 2018</oddHeader>
    <oddFooter>&amp;C&amp;"-,Italique"&amp;8&amp;A&amp;R&amp;"-,Italique"&amp;8Page &amp;P</oddFooter>
  </headerFooter>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500-000000000000}">
          <x14:formula1>
            <xm:f>'D_Ch-2-1'!$B$50:$B$98</xm:f>
          </x14:formula1>
          <xm:sqref>R40:S40</xm:sqref>
        </x14:dataValidation>
        <x14:dataValidation type="list" allowBlank="1" showInputMessage="1" showErrorMessage="1" xr:uid="{00000000-0002-0000-1500-000001000000}">
          <x14:formula1>
            <xm:f>'D_Ch-2-1'!$B$6:$B$40</xm:f>
          </x14:formula1>
          <xm:sqref>I29:L29</xm:sqref>
        </x14:dataValidation>
        <x14:dataValidation type="list" allowBlank="1" showInputMessage="1" showErrorMessage="1" xr:uid="{00000000-0002-0000-1500-000002000000}">
          <x14:formula1>
            <xm:f>'D_Ch5-2'!$B$59:$B$107</xm:f>
          </x14:formula1>
          <xm:sqref>I61:L61</xm:sqref>
        </x14:dataValidation>
        <x14:dataValidation type="list" allowBlank="1" showInputMessage="1" showErrorMessage="1" xr:uid="{00000000-0002-0000-1500-000003000000}">
          <x14:formula1>
            <xm:f>'D_Ch-2-1'!$B$6:$B$40</xm:f>
          </x14:formula1>
          <xm:sqref>O29:R29</xm:sqref>
        </x14:dataValidation>
        <x14:dataValidation type="list" allowBlank="1" showInputMessage="1" showErrorMessage="1" xr:uid="{00000000-0002-0000-1500-000004000000}">
          <x14:formula1>
            <xm:f>'D_Ch-2-1'!$B$50:$B$98</xm:f>
          </x14:formula1>
          <xm:sqref>A41:C52 L40:Q40</xm:sqref>
        </x14:dataValidation>
        <x14:dataValidation type="list" allowBlank="1" showInputMessage="1" showErrorMessage="1" xr:uid="{00000000-0002-0000-1500-000005000000}">
          <x14:formula1>
            <xm:f>'D_Ch-5-1'!$B$6:$B$54</xm:f>
          </x14:formula1>
          <xm:sqref>H114:K114 O114:R114</xm:sqref>
        </x14:dataValidation>
        <x14:dataValidation type="list" allowBlank="1" showInputMessage="1" showErrorMessage="1" xr:uid="{00000000-0002-0000-1500-000006000000}">
          <x14:formula1>
            <xm:f>'D_Ch5-2'!$B$59:$B$107</xm:f>
          </x14:formula1>
          <xm:sqref>O61:R61</xm:sqref>
        </x14:dataValidation>
        <x14:dataValidation type="list" allowBlank="1" showInputMessage="1" showErrorMessage="1" xr:uid="{00000000-0002-0000-1500-000007000000}">
          <x14:formula1>
            <xm:f>'D_Ch-2-1'!$B$50:$B$98</xm:f>
          </x14:formula1>
          <xm:sqref>J40:K40</xm:sqref>
        </x14:dataValidation>
        <x14:dataValidation type="list" allowBlank="1" showInputMessage="1" showErrorMessage="1" xr:uid="{00000000-0002-0000-1500-000008000000}">
          <x14:formula1>
            <xm:f>'D_Ch-5-1'!$B$235:$B$280</xm:f>
          </x14:formula1>
          <xm:sqref>H140:K140 O140:R140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F409"/>
  <sheetViews>
    <sheetView showGridLines="0" showRowColHeaders="0" showRuler="0" view="pageLayout" zoomScaleNormal="100" workbookViewId="0"/>
  </sheetViews>
  <sheetFormatPr baseColWidth="10" defaultColWidth="0" defaultRowHeight="12.75" zeroHeight="1"/>
  <cols>
    <col min="1" max="20" width="4.7109375" style="327" customWidth="1"/>
    <col min="21" max="21" width="1.28515625" style="198" customWidth="1"/>
    <col min="22" max="22" width="11.42578125" style="198" hidden="1"/>
    <col min="23" max="23" width="9.7109375" style="198" hidden="1"/>
    <col min="24" max="32" width="0" style="198" hidden="1"/>
    <col min="33" max="16384" width="11.42578125" style="198" hidden="1"/>
  </cols>
  <sheetData>
    <row r="1" spans="1:21" ht="15" customHeight="1">
      <c r="A1" s="195"/>
      <c r="B1" s="196"/>
      <c r="C1" s="197"/>
      <c r="D1" s="197"/>
      <c r="E1" s="197"/>
      <c r="F1" s="1105" t="s">
        <v>1039</v>
      </c>
      <c r="G1" s="1105"/>
      <c r="H1" s="1105"/>
      <c r="I1" s="1105"/>
      <c r="J1" s="1105"/>
      <c r="K1" s="1105"/>
      <c r="L1" s="1105"/>
      <c r="M1" s="1105"/>
      <c r="N1" s="1105"/>
      <c r="O1" s="1105"/>
      <c r="P1" s="1105"/>
      <c r="Q1" s="1105"/>
      <c r="R1" s="1105"/>
      <c r="S1" s="1105"/>
      <c r="T1" s="1105"/>
      <c r="U1" s="593"/>
    </row>
    <row r="2" spans="1:21" ht="12.75" customHeight="1">
      <c r="A2" s="199"/>
      <c r="B2" s="197"/>
      <c r="C2" s="197"/>
      <c r="D2" s="197"/>
      <c r="E2" s="197"/>
      <c r="F2" s="1105"/>
      <c r="G2" s="1105"/>
      <c r="H2" s="1105"/>
      <c r="I2" s="1105"/>
      <c r="J2" s="1105"/>
      <c r="K2" s="1105"/>
      <c r="L2" s="1105"/>
      <c r="M2" s="1105"/>
      <c r="N2" s="1105"/>
      <c r="O2" s="1105"/>
      <c r="P2" s="1105"/>
      <c r="Q2" s="1105"/>
      <c r="R2" s="1105"/>
      <c r="S2" s="1105"/>
      <c r="T2" s="1105"/>
      <c r="U2" s="593"/>
    </row>
    <row r="3" spans="1:21" ht="15" customHeight="1">
      <c r="A3" s="200"/>
      <c r="B3" s="197"/>
      <c r="C3" s="197"/>
      <c r="D3" s="197"/>
      <c r="E3" s="197"/>
      <c r="F3" s="1105"/>
      <c r="G3" s="1105"/>
      <c r="H3" s="1105"/>
      <c r="I3" s="1105"/>
      <c r="J3" s="1105"/>
      <c r="K3" s="1105"/>
      <c r="L3" s="1105"/>
      <c r="M3" s="1105"/>
      <c r="N3" s="1105"/>
      <c r="O3" s="1105"/>
      <c r="P3" s="1105"/>
      <c r="Q3" s="1105"/>
      <c r="R3" s="1105"/>
      <c r="S3" s="1105"/>
      <c r="T3" s="1105"/>
      <c r="U3" s="593"/>
    </row>
    <row r="4" spans="1:21" customFormat="1" ht="12.75" customHeight="1">
      <c r="F4" s="1105"/>
      <c r="G4" s="1105"/>
      <c r="H4" s="1105"/>
      <c r="I4" s="1105"/>
      <c r="J4" s="1105"/>
      <c r="K4" s="1105"/>
      <c r="L4" s="1105"/>
      <c r="M4" s="1105"/>
      <c r="N4" s="1105"/>
      <c r="O4" s="1105"/>
      <c r="P4" s="1105"/>
      <c r="Q4" s="1105"/>
      <c r="R4" s="1105"/>
      <c r="S4" s="1105"/>
      <c r="T4" s="1105"/>
    </row>
    <row r="5" spans="1:21" customFormat="1" ht="5.25" customHeight="1"/>
    <row r="6" spans="1:21" ht="15" customHeight="1">
      <c r="A6" s="1102" t="s">
        <v>1261</v>
      </c>
      <c r="B6" s="1102"/>
      <c r="C6" s="1102"/>
      <c r="D6" s="1102"/>
      <c r="E6" s="1102"/>
      <c r="F6" s="1102"/>
      <c r="G6" s="1102"/>
      <c r="H6" s="1102"/>
      <c r="I6" s="1102"/>
      <c r="J6" s="1102"/>
      <c r="K6" s="1102"/>
      <c r="L6" s="1102"/>
      <c r="M6" s="1102"/>
      <c r="N6" s="1102"/>
      <c r="O6" s="1102"/>
      <c r="P6" s="1102"/>
      <c r="Q6" s="1102"/>
      <c r="R6" s="1102"/>
      <c r="S6" s="1102"/>
      <c r="T6" s="1102"/>
      <c r="U6" s="784"/>
    </row>
    <row r="7" spans="1:21" ht="15" customHeight="1">
      <c r="A7" s="1102"/>
      <c r="B7" s="1102"/>
      <c r="C7" s="1102"/>
      <c r="D7" s="1102"/>
      <c r="E7" s="1102"/>
      <c r="F7" s="1102"/>
      <c r="G7" s="1102"/>
      <c r="H7" s="1102"/>
      <c r="I7" s="1102"/>
      <c r="J7" s="1102"/>
      <c r="K7" s="1102"/>
      <c r="L7" s="1102"/>
      <c r="M7" s="1102"/>
      <c r="N7" s="1102"/>
      <c r="O7" s="1102"/>
      <c r="P7" s="1102"/>
      <c r="Q7" s="1102"/>
      <c r="R7" s="1102"/>
      <c r="S7" s="1102"/>
      <c r="T7" s="1102"/>
      <c r="U7" s="784"/>
    </row>
    <row r="8" spans="1:21" s="213" customFormat="1" ht="9" customHeight="1" thickBot="1">
      <c r="A8" s="409"/>
      <c r="B8" s="409"/>
      <c r="C8" s="409"/>
      <c r="D8" s="409"/>
      <c r="E8" s="409"/>
      <c r="F8" s="409"/>
      <c r="G8" s="409"/>
      <c r="H8" s="409"/>
      <c r="I8" s="409"/>
      <c r="J8" s="409"/>
      <c r="K8" s="409"/>
      <c r="L8" s="409"/>
      <c r="M8" s="409"/>
      <c r="N8" s="409"/>
      <c r="O8" s="409"/>
      <c r="P8" s="409"/>
      <c r="Q8" s="409"/>
      <c r="R8" s="409"/>
      <c r="S8" s="409"/>
      <c r="T8" s="409"/>
    </row>
    <row r="9" spans="1:21" ht="14.25" thickTop="1" thickBot="1">
      <c r="A9" s="1011" t="s">
        <v>1077</v>
      </c>
      <c r="B9" s="1012"/>
      <c r="C9" s="1013"/>
      <c r="H9" s="1171" t="s">
        <v>61</v>
      </c>
      <c r="I9" s="1172"/>
      <c r="J9" s="1172"/>
      <c r="K9" s="1173"/>
      <c r="L9" s="554"/>
      <c r="M9" s="555"/>
      <c r="N9" s="554"/>
      <c r="O9" s="1174" t="s">
        <v>32</v>
      </c>
      <c r="P9" s="1175"/>
      <c r="Q9" s="1175"/>
      <c r="R9" s="1176"/>
      <c r="T9" s="410"/>
    </row>
    <row r="10" spans="1:21" ht="13.5" customHeight="1" thickTop="1">
      <c r="A10" s="405"/>
      <c r="B10" s="405"/>
      <c r="C10" s="405"/>
      <c r="D10" s="405"/>
      <c r="E10" s="405"/>
      <c r="S10"/>
      <c r="T10"/>
    </row>
    <row r="11" spans="1:21" ht="15" customHeight="1">
      <c r="A11" s="852" t="s">
        <v>1683</v>
      </c>
      <c r="B11" s="853"/>
      <c r="C11" s="853"/>
      <c r="D11" s="853"/>
      <c r="E11" s="853"/>
      <c r="F11" s="853"/>
      <c r="G11" s="403"/>
      <c r="H11" s="403"/>
      <c r="I11" s="403"/>
      <c r="J11" s="403"/>
      <c r="K11" s="403"/>
      <c r="L11" s="403"/>
      <c r="M11" s="403"/>
      <c r="N11" s="403"/>
      <c r="O11" s="403"/>
      <c r="P11" s="403"/>
      <c r="Q11" s="403"/>
      <c r="R11" s="403"/>
      <c r="S11"/>
      <c r="T11"/>
    </row>
    <row r="12" spans="1:21" ht="27.75" customHeight="1">
      <c r="A12" s="414"/>
      <c r="B12" s="414"/>
      <c r="C12" s="414"/>
      <c r="D12" s="414"/>
      <c r="E12" s="414"/>
      <c r="F12" s="1052" t="s">
        <v>113</v>
      </c>
      <c r="G12" s="1053"/>
      <c r="H12" s="1054"/>
      <c r="I12" s="1180" t="s">
        <v>598</v>
      </c>
      <c r="J12" s="1180"/>
      <c r="K12" s="1180" t="s">
        <v>93</v>
      </c>
      <c r="L12" s="1180"/>
      <c r="M12" s="1180" t="s">
        <v>96</v>
      </c>
      <c r="N12" s="1180"/>
      <c r="O12" s="783"/>
      <c r="P12" s="1181" t="s">
        <v>599</v>
      </c>
      <c r="Q12" s="1182"/>
      <c r="R12" s="1183"/>
      <c r="S12"/>
      <c r="T12"/>
      <c r="U12" s="388"/>
    </row>
    <row r="13" spans="1:21" ht="15" customHeight="1">
      <c r="A13" s="1177" t="str">
        <f>H9</f>
        <v>AU Bordeaux</v>
      </c>
      <c r="B13" s="1177"/>
      <c r="C13" s="1177"/>
      <c r="D13" s="1177"/>
      <c r="E13" s="1177"/>
      <c r="F13" s="1188">
        <f>VLOOKUP($H$9,'D_Ch-2-1'!$B$5:$AF$40,MATCH("Cdi",'D_Ch-2-1'!$5:$5,0)-1,FALSE)</f>
        <v>389521.81301135808</v>
      </c>
      <c r="G13" s="1189"/>
      <c r="H13" s="1190"/>
      <c r="I13" s="1184">
        <f>VLOOKUP($H$9,'D_Ch-2-1'!$B$5:$AE$40,MATCH("Cdd",'D_Ch-2-1'!$5:$5,0)-1,FALSE)</f>
        <v>42901.941913096438</v>
      </c>
      <c r="J13" s="1184"/>
      <c r="K13" s="1184">
        <f>VLOOKUP($H$9,'D_Ch-2-1'!$B$5:$AE$40,MATCH("Autres salariés",'D_Ch-2-1'!$5:$5,0)-1,FALSE)</f>
        <v>23686.990829562623</v>
      </c>
      <c r="L13" s="1184"/>
      <c r="M13" s="1184">
        <f>VLOOKUP($H$9,'D_Ch-2-1'!$B$5:$AE$40,MATCH("Non salariés",'D_Ch-2-1'!$5:$5,0)-1,FALSE)</f>
        <v>61228.10309860712</v>
      </c>
      <c r="N13" s="1184"/>
      <c r="O13" s="416"/>
      <c r="P13" s="416"/>
      <c r="Q13" s="416"/>
      <c r="R13" s="416"/>
      <c r="S13"/>
      <c r="T13"/>
    </row>
    <row r="14" spans="1:21" ht="12.75" customHeight="1">
      <c r="A14" s="1179" t="s">
        <v>1751</v>
      </c>
      <c r="B14" s="1179"/>
      <c r="C14" s="1179"/>
      <c r="D14" s="1179"/>
      <c r="E14" s="415"/>
      <c r="F14" s="1191">
        <f>VLOOKUP($H$9,'D_Ch-2-1'!$B$5:$AE$40,MATCH("Cdi TP",'D_Ch-2-1'!$5:$5,0)-1,FALSE)/(VLOOKUP($H$9,'D_Ch-2-1'!$B$5:$AE$40,MATCH("Cdi",'D_Ch-2-1'!$5:$5,0)-1,FALSE))</f>
        <v>0.8679733054215949</v>
      </c>
      <c r="G14" s="1192"/>
      <c r="H14" s="1193"/>
      <c r="I14" s="1194">
        <f>VLOOKUP($H$9,'D_Ch-2-1'!$B$5:$AE$40,MATCH("Cdd TP",'D_Ch-2-1'!$5:$5,0)-1,FALSE)/(VLOOKUP($H$9,'D_Ch-2-1'!$B$5:$AE$40,MATCH("Cdd",'D_Ch-2-1'!$5:$5,0)-1,FALSE))</f>
        <v>0.6114826121835677</v>
      </c>
      <c r="J14" s="1194"/>
      <c r="K14" s="1194">
        <f>VLOOKUP($H$9,'D_Ch-2-1'!$B$5:$AE$40,MATCH("Autres salariés TP",'D_Ch-2-1'!$5:$5,0)-1,FALSE)/(VLOOKUP($H$9,'D_Ch-2-1'!$B$5:$AE$40,MATCH("Autres salariés",'D_Ch-2-1'!$5:$5,0)-1,FALSE))</f>
        <v>0.65304212063446909</v>
      </c>
      <c r="L14" s="1194"/>
      <c r="M14" s="1194">
        <f>VLOOKUP($H$9,'D_Ch-2-1'!$B$5:$AE$40,MATCH("Non salariés TP",'D_Ch-2-1'!$5:$5,0)-1,FALSE)/(VLOOKUP($H$9,'D_Ch-2-1'!$B$5:$AE$40,MATCH("Non salariés",'D_Ch-2-1'!$5:$5,0)-1,FALSE))</f>
        <v>0.87950182891566164</v>
      </c>
      <c r="N14" s="1194"/>
      <c r="P14" s="1185">
        <f>VLOOKUP($H$9,'D_Ch-2-1'!$B$5:$AE$40,MATCH("Total TP",'D_Ch-2-1'!$5:$5,0)-1,FALSE)/(VLOOKUP($H$9,'D_Ch-2-1'!$B$5:$AE$40,MATCH("Total",'D_Ch-2-1'!$5:$5,0)-1,FALSE))</f>
        <v>0.83822655001235269</v>
      </c>
      <c r="Q14" s="1186"/>
      <c r="R14" s="1187"/>
      <c r="S14"/>
      <c r="T14"/>
    </row>
    <row r="15" spans="1:21" ht="15">
      <c r="A15" s="1178" t="str">
        <f>O9</f>
        <v>AU Toulouse</v>
      </c>
      <c r="B15" s="1178"/>
      <c r="C15" s="1178"/>
      <c r="D15" s="1178"/>
      <c r="E15" s="417"/>
      <c r="F15" s="1196">
        <f>VLOOKUP($O$9,'D_Ch-2-1'!$B$5:$AF$40,MATCH("Cdi",'D_Ch-2-1'!$5:$5,0)-1,FALSE)</f>
        <v>454029.95529018121</v>
      </c>
      <c r="G15" s="1197"/>
      <c r="H15" s="1198"/>
      <c r="I15" s="1195">
        <f>VLOOKUP($O$9,'D_Ch-2-1'!$B$5:$AE$40,MATCH("Cdd",'D_Ch-2-1'!$5:$5,0)-1,FALSE)</f>
        <v>45942.641100249246</v>
      </c>
      <c r="J15" s="1195"/>
      <c r="K15" s="1195">
        <f>VLOOKUP($O$9,'D_Ch-2-1'!$B$5:$AE$40,MATCH("Autres salariés",'D_Ch-2-1'!$5:$5,0)-1,FALSE)</f>
        <v>27651.641501324248</v>
      </c>
      <c r="L15" s="1195"/>
      <c r="M15" s="1195">
        <f>VLOOKUP($O$9,'D_Ch-2-1'!$B$5:$AE$40,MATCH("Non salariés",'D_Ch-2-1'!$5:$5,0)-1,FALSE)</f>
        <v>64016.264435207639</v>
      </c>
      <c r="N15" s="1195"/>
      <c r="S15"/>
      <c r="T15"/>
    </row>
    <row r="16" spans="1:21" ht="15">
      <c r="A16" s="1179" t="s">
        <v>1751</v>
      </c>
      <c r="B16" s="1179"/>
      <c r="C16" s="1179"/>
      <c r="D16" s="1179"/>
      <c r="E16" s="415"/>
      <c r="F16" s="1191">
        <f>VLOOKUP($O$9,'D_Ch-2-1'!$B$5:$AE$40,MATCH("Cdi TP",'D_Ch-2-1'!$5:$5,0)-1,FALSE)/(VLOOKUP($O$9,'D_Ch-2-1'!$B$5:$AE$40,MATCH("Cdi",'D_Ch-2-1'!$5:$5,0)-1,FALSE))</f>
        <v>0.85496517628341717</v>
      </c>
      <c r="G16" s="1192"/>
      <c r="H16" s="1193"/>
      <c r="I16" s="1194">
        <f>VLOOKUP($O$9,'D_Ch-2-1'!$B$5:$AE$40,MATCH("Cdd TP",'D_Ch-2-1'!$5:$5,0)-1,FALSE)/(VLOOKUP($O$9,'D_Ch-2-1'!$B$5:$AE$40,MATCH("Cdd",'D_Ch-2-1'!$5:$5,0)-1,FALSE))</f>
        <v>0.59676689803789273</v>
      </c>
      <c r="J16" s="1194"/>
      <c r="K16" s="1194">
        <f>VLOOKUP($O$9,'D_Ch-2-1'!$B$5:$AE$40,MATCH("Autres salariés TP",'D_Ch-2-1'!$5:$5,0)-1,FALSE)/(VLOOKUP($O$9,'D_Ch-2-1'!$B$5:$AE$40,MATCH("Autres salariés",'D_Ch-2-1'!$5:$5,0)-1,FALSE))</f>
        <v>0.70265908447039427</v>
      </c>
      <c r="L16" s="1194"/>
      <c r="M16" s="1194">
        <f>VLOOKUP($O$9,'D_Ch-2-1'!$B$5:$AE$40,MATCH("Non salariés TP",'D_Ch-2-1'!$5:$5,0)-1,FALSE)/(VLOOKUP($O$9,'D_Ch-2-1'!$B$5:$AE$40,MATCH("Non salariés",'D_Ch-2-1'!$5:$5,0)-1,FALSE))</f>
        <v>0.86628050419317781</v>
      </c>
      <c r="N16" s="1194"/>
      <c r="P16" s="1185">
        <f>VLOOKUP($O$9,'D_Ch-2-1'!$B$5:$AE$40,MATCH("Total TP",'D_Ch-2-1'!$5:$5,0)-1,FALSE)/(VLOOKUP($O$9,'D_Ch-2-1'!$B$5:$AE$40,MATCH("Total",'D_Ch-2-1'!$5:$5,0)-1,FALSE))</f>
        <v>0.8290212809696158</v>
      </c>
      <c r="Q16" s="1186"/>
      <c r="R16" s="1187"/>
      <c r="S16"/>
      <c r="T16"/>
    </row>
    <row r="17" spans="1:20" ht="15">
      <c r="S17"/>
      <c r="T17"/>
    </row>
    <row r="18" spans="1:20">
      <c r="A18" s="412" t="s">
        <v>1684</v>
      </c>
      <c r="B18" s="419"/>
      <c r="C18" s="419"/>
      <c r="D18" s="419"/>
      <c r="E18" s="419"/>
      <c r="F18" s="419"/>
      <c r="G18" s="419"/>
      <c r="H18" s="419"/>
    </row>
    <row r="19" spans="1:20" s="216" customFormat="1" ht="15" customHeight="1">
      <c r="A19" s="834"/>
      <c r="S19" s="403"/>
      <c r="T19" s="403"/>
    </row>
    <row r="20" spans="1:20" s="210" customFormat="1" ht="24.75" customHeight="1">
      <c r="A20" s="426"/>
      <c r="B20" s="426"/>
      <c r="C20" s="426"/>
      <c r="D20" s="426"/>
      <c r="E20" s="426"/>
      <c r="F20" s="426"/>
      <c r="G20" s="426"/>
      <c r="H20" s="426"/>
      <c r="I20" s="327"/>
      <c r="J20" s="327"/>
      <c r="K20" s="327"/>
      <c r="S20" s="414"/>
      <c r="T20" s="414"/>
    </row>
    <row r="21" spans="1:20" ht="15" customHeight="1">
      <c r="A21" s="419"/>
      <c r="B21" s="419"/>
      <c r="C21" s="419"/>
      <c r="D21" s="419">
        <v>2009</v>
      </c>
      <c r="E21" s="419">
        <v>2014</v>
      </c>
      <c r="F21" s="419">
        <v>2009</v>
      </c>
      <c r="G21" s="419">
        <v>2014</v>
      </c>
      <c r="H21" s="419"/>
    </row>
    <row r="22" spans="1:20" ht="15" customHeight="1">
      <c r="A22" s="419" t="s">
        <v>604</v>
      </c>
      <c r="B22" s="419"/>
      <c r="C22" s="419"/>
      <c r="D22" s="419">
        <f>VLOOKUP($H$9,'D_Ch-2-1'!$B$5:$BA$40,MATCH("CDI N-2",'D_Ch-2-1'!$5:$5,0)-1,FALSE)</f>
        <v>377141.83969099994</v>
      </c>
      <c r="E22" s="419">
        <f>VLOOKUP($H$9,'D_Ch-2-1'!$B$5:$BA$40,MATCH("CDI",'D_Ch-2-1'!$5:$5,0)-1,FALSE)</f>
        <v>389521.81301135808</v>
      </c>
      <c r="F22" s="420">
        <f>VLOOKUP($O$9,'D_Ch-2-1'!$B$5:$BA$40,MATCH("CDI N-2",'D_Ch-2-1'!$5:$5,0)-1,FALSE)</f>
        <v>429502.53756900015</v>
      </c>
      <c r="G22" s="420">
        <f>VLOOKUP($O$9,'D_Ch-2-1'!$B$5:$BA$40,MATCH("CDI",'D_Ch-2-1'!$5:$5,0)-1,FALSE)</f>
        <v>454029.95529018121</v>
      </c>
      <c r="H22" s="419"/>
      <c r="I22" s="421"/>
    </row>
    <row r="23" spans="1:20" ht="15" customHeight="1">
      <c r="A23" s="419" t="s">
        <v>605</v>
      </c>
      <c r="B23" s="419"/>
      <c r="C23" s="419"/>
      <c r="D23" s="419">
        <f>VLOOKUP($H$9,'D_Ch-2-1'!$B$5:$AE$40,MATCH("CDD N-2",'D_Ch-2-1'!$5:$5,0)-1,FALSE)</f>
        <v>42586.25699799999</v>
      </c>
      <c r="E23" s="419">
        <f>VLOOKUP($H$9,'D_Ch-2-1'!$B$5:$AE$40,MATCH("CDD",'D_Ch-2-1'!$5:$5,0)-1,FALSE)</f>
        <v>42901.941913096438</v>
      </c>
      <c r="F23" s="420">
        <f>VLOOKUP($O$9,'D_Ch-2-1'!$B$5:$AE$40,MATCH("CDD N-2",'D_Ch-2-1'!$5:$5,0)-1,FALSE)</f>
        <v>46212.543366999962</v>
      </c>
      <c r="G23" s="420">
        <f>VLOOKUP($O$9,'D_Ch-2-1'!$B$5:$AE$40,MATCH("CDD",'D_Ch-2-1'!$5:$5,0)-1,FALSE)</f>
        <v>45942.641100249246</v>
      </c>
      <c r="H23" s="419"/>
      <c r="I23" s="421"/>
    </row>
    <row r="24" spans="1:20" ht="15" customHeight="1">
      <c r="A24" s="419" t="s">
        <v>606</v>
      </c>
      <c r="B24" s="419"/>
      <c r="C24" s="419"/>
      <c r="D24" s="419">
        <f>VLOOKUP($H$9,'D_Ch-2-1'!$B$5:$AE$40,MATCH("Autres salariés N-2",'D_Ch-2-1'!$5:$5,0)-1,FALSE)</f>
        <v>22231.49547300001</v>
      </c>
      <c r="E24" s="419">
        <f>VLOOKUP($H$9,'D_Ch-2-1'!$B$5:$AE$40,MATCH("Autres salariés",'D_Ch-2-1'!$5:$5,0)-1,FALSE)</f>
        <v>23686.990829562623</v>
      </c>
      <c r="F24" s="420">
        <f>VLOOKUP($O$9,'D_Ch-2-1'!$B$5:$AE$40,MATCH("Autres salariés N-2",'D_Ch-2-1'!$5:$5,0)-1,FALSE)</f>
        <v>25396.972001000002</v>
      </c>
      <c r="G24" s="420">
        <f>VLOOKUP($O$9,'D_Ch-2-1'!$B$5:$AE$40,MATCH("Autres salariés",'D_Ch-2-1'!$5:$5,0)-1,FALSE)</f>
        <v>27651.641501324248</v>
      </c>
      <c r="H24" s="419"/>
      <c r="I24" s="421"/>
      <c r="S24" s="418"/>
      <c r="T24" s="418"/>
    </row>
    <row r="25" spans="1:20" ht="6.75" customHeight="1">
      <c r="A25" s="419" t="s">
        <v>96</v>
      </c>
      <c r="B25" s="419"/>
      <c r="C25" s="419"/>
      <c r="D25" s="419">
        <f>VLOOKUP($H$9,'D_Ch-2-1'!$B$5:$BA$40,MATCH("Non-salariés N-2",'D_Ch-2-1'!$5:$5,0)-1,FALSE)</f>
        <v>49091.879830999998</v>
      </c>
      <c r="E25" s="419">
        <f>VLOOKUP($H$9,'D_Ch-2-1'!$B$5:$AE$40,MATCH("Non salariés",'D_Ch-2-1'!$5:$5,0)-1,FALSE)</f>
        <v>61228.10309860712</v>
      </c>
      <c r="F25" s="420">
        <f>VLOOKUP($O$9,'D_Ch-2-1'!$B$5:$BA$40,MATCH("Non-salariés N-2",'D_Ch-2-1'!$5:$5,0)-1,FALSE)</f>
        <v>54631.455616000014</v>
      </c>
      <c r="G25" s="420">
        <f>VLOOKUP($O$9,'D_Ch-2-1'!$B$5:$AE$40,MATCH("Non salariés",'D_Ch-2-1'!$5:$5,0)-1,FALSE)</f>
        <v>64016.264435207639</v>
      </c>
      <c r="H25" s="419"/>
      <c r="I25" s="421"/>
    </row>
    <row r="26" spans="1:20">
      <c r="A26" s="419" t="str">
        <f>H9</f>
        <v>AU Bordeaux</v>
      </c>
      <c r="B26" s="419"/>
      <c r="C26" s="419"/>
      <c r="D26" s="422">
        <f>D23/(D24+D23+D22)</f>
        <v>9.635780680689475E-2</v>
      </c>
      <c r="E26" s="422">
        <f>E23/(E24+E23+E22)</f>
        <v>9.4060362121425822E-2</v>
      </c>
      <c r="F26" s="419"/>
      <c r="G26" s="419"/>
      <c r="H26" s="419"/>
    </row>
    <row r="27" spans="1:20" ht="11.25" customHeight="1">
      <c r="A27" s="419" t="str">
        <f>O9</f>
        <v>AU Toulouse</v>
      </c>
      <c r="B27" s="419"/>
      <c r="C27" s="419"/>
      <c r="D27" s="424">
        <f>F23/(F22+F23+F24)</f>
        <v>9.22199797353703E-2</v>
      </c>
      <c r="E27" s="424">
        <f>G23/(G22+G23+G24)</f>
        <v>8.7074546241135073E-2</v>
      </c>
      <c r="F27" s="419"/>
      <c r="G27" s="419"/>
      <c r="H27" s="419"/>
    </row>
    <row r="28" spans="1:20">
      <c r="A28" s="419"/>
      <c r="B28" s="419"/>
      <c r="C28" s="419"/>
      <c r="D28" s="419"/>
      <c r="E28" s="419"/>
      <c r="F28" s="419"/>
      <c r="G28" s="419"/>
      <c r="H28" s="419"/>
      <c r="J28" s="423"/>
    </row>
    <row r="29" spans="1:20">
      <c r="A29" s="426"/>
      <c r="B29" s="426"/>
      <c r="C29" s="426"/>
      <c r="D29" s="426"/>
      <c r="E29" s="426"/>
      <c r="F29" s="426"/>
      <c r="G29" s="426"/>
      <c r="H29" s="426"/>
    </row>
    <row r="30" spans="1:20">
      <c r="A30" s="596"/>
      <c r="B30" s="596"/>
      <c r="C30" s="596"/>
      <c r="D30" s="596"/>
      <c r="E30" s="596"/>
      <c r="F30" s="596"/>
      <c r="G30" s="596"/>
    </row>
    <row r="31" spans="1:20">
      <c r="A31" s="596"/>
    </row>
    <row r="32" spans="1:20"/>
    <row r="33" spans="1:20"/>
    <row r="34" spans="1:20"/>
    <row r="35" spans="1:20">
      <c r="A35" s="437" t="s">
        <v>2050</v>
      </c>
      <c r="B35" s="853"/>
      <c r="C35" s="853"/>
      <c r="D35" s="853"/>
      <c r="E35" s="853"/>
      <c r="F35" s="853"/>
      <c r="G35" s="853"/>
      <c r="H35" s="853"/>
      <c r="I35" s="852"/>
      <c r="J35" s="853"/>
      <c r="K35" s="853"/>
      <c r="L35" s="853"/>
      <c r="M35" s="853"/>
    </row>
    <row r="36" spans="1:20">
      <c r="A36" s="425"/>
    </row>
    <row r="37" spans="1:20"/>
    <row r="38" spans="1:20"/>
    <row r="39" spans="1:20" ht="3" customHeight="1"/>
    <row r="40" spans="1:20" ht="15">
      <c r="A40"/>
      <c r="B40"/>
      <c r="C40"/>
      <c r="D40"/>
      <c r="E40"/>
      <c r="F40"/>
      <c r="G40"/>
      <c r="H40"/>
      <c r="I40"/>
      <c r="J40"/>
      <c r="K40"/>
      <c r="L40"/>
      <c r="M40"/>
      <c r="N40"/>
      <c r="O40"/>
      <c r="P40"/>
      <c r="Q40"/>
      <c r="R40"/>
      <c r="S40"/>
      <c r="T40"/>
    </row>
    <row r="41" spans="1:20" s="554" customFormat="1" ht="26.25" customHeight="1">
      <c r="A41"/>
      <c r="B41"/>
      <c r="C41"/>
      <c r="D41"/>
      <c r="E41"/>
      <c r="F41"/>
      <c r="G41"/>
      <c r="H41"/>
      <c r="I41"/>
      <c r="J41"/>
      <c r="K41"/>
      <c r="L41"/>
      <c r="M41"/>
      <c r="N41"/>
      <c r="O41"/>
      <c r="P41"/>
      <c r="Q41"/>
      <c r="R41"/>
      <c r="S41"/>
      <c r="T41"/>
    </row>
    <row r="42" spans="1:20" ht="15">
      <c r="A42"/>
      <c r="B42"/>
      <c r="C42"/>
      <c r="D42"/>
      <c r="E42"/>
      <c r="F42"/>
      <c r="G42"/>
      <c r="H42"/>
      <c r="I42"/>
      <c r="J42"/>
      <c r="K42"/>
      <c r="L42"/>
      <c r="M42"/>
      <c r="N42"/>
      <c r="O42"/>
      <c r="P42"/>
      <c r="Q42"/>
      <c r="R42"/>
      <c r="S42"/>
      <c r="T42"/>
    </row>
    <row r="43" spans="1:20" ht="15">
      <c r="A43"/>
      <c r="B43"/>
      <c r="C43"/>
      <c r="D43"/>
      <c r="E43"/>
      <c r="F43"/>
      <c r="G43"/>
      <c r="H43"/>
      <c r="I43"/>
      <c r="J43"/>
      <c r="K43"/>
      <c r="L43"/>
      <c r="M43"/>
      <c r="N43"/>
      <c r="O43"/>
      <c r="P43"/>
      <c r="Q43"/>
      <c r="R43"/>
      <c r="S43"/>
      <c r="T43"/>
    </row>
    <row r="44" spans="1:20" ht="15">
      <c r="A44"/>
      <c r="B44"/>
      <c r="C44"/>
      <c r="D44"/>
      <c r="E44"/>
      <c r="F44"/>
      <c r="G44"/>
      <c r="H44"/>
      <c r="I44"/>
      <c r="J44"/>
      <c r="K44"/>
      <c r="L44"/>
      <c r="M44"/>
      <c r="N44"/>
      <c r="O44"/>
      <c r="P44"/>
      <c r="Q44"/>
      <c r="R44"/>
      <c r="S44"/>
      <c r="T44"/>
    </row>
    <row r="45" spans="1:20" ht="15">
      <c r="A45"/>
      <c r="B45"/>
      <c r="C45"/>
      <c r="D45"/>
      <c r="E45"/>
      <c r="F45"/>
      <c r="G45"/>
      <c r="H45"/>
      <c r="I45"/>
      <c r="J45"/>
      <c r="K45"/>
      <c r="L45"/>
      <c r="M45"/>
      <c r="N45"/>
      <c r="O45"/>
      <c r="P45"/>
      <c r="Q45"/>
      <c r="R45"/>
      <c r="S45"/>
      <c r="T45"/>
    </row>
    <row r="46" spans="1:20" ht="15">
      <c r="A46"/>
      <c r="B46"/>
      <c r="C46"/>
      <c r="D46"/>
      <c r="E46"/>
      <c r="F46"/>
      <c r="G46"/>
      <c r="H46"/>
      <c r="I46"/>
      <c r="J46"/>
      <c r="K46"/>
      <c r="L46"/>
      <c r="M46"/>
      <c r="N46"/>
      <c r="O46"/>
      <c r="P46"/>
      <c r="Q46"/>
      <c r="R46"/>
      <c r="S46"/>
      <c r="T46"/>
    </row>
    <row r="47" spans="1:20" ht="15">
      <c r="A47"/>
      <c r="B47"/>
      <c r="C47"/>
      <c r="D47"/>
      <c r="E47"/>
      <c r="F47"/>
      <c r="G47"/>
      <c r="H47"/>
      <c r="I47"/>
      <c r="J47"/>
      <c r="K47"/>
      <c r="L47"/>
      <c r="M47"/>
      <c r="N47"/>
      <c r="O47"/>
      <c r="P47"/>
      <c r="Q47"/>
      <c r="R47"/>
      <c r="S47"/>
      <c r="T47"/>
    </row>
    <row r="48" spans="1:20" ht="15">
      <c r="A48"/>
      <c r="B48"/>
      <c r="C48"/>
      <c r="D48"/>
      <c r="E48"/>
      <c r="F48"/>
      <c r="G48"/>
      <c r="H48"/>
      <c r="I48"/>
      <c r="J48"/>
      <c r="K48"/>
      <c r="L48"/>
      <c r="M48"/>
      <c r="N48"/>
      <c r="O48"/>
      <c r="P48"/>
      <c r="Q48"/>
      <c r="R48"/>
      <c r="S48"/>
      <c r="T48"/>
    </row>
    <row r="49" spans="1:21" ht="15">
      <c r="A49"/>
      <c r="B49"/>
      <c r="C49"/>
      <c r="D49"/>
      <c r="E49"/>
      <c r="F49"/>
      <c r="G49"/>
      <c r="H49"/>
      <c r="I49"/>
      <c r="J49"/>
      <c r="K49"/>
      <c r="L49"/>
      <c r="M49"/>
      <c r="N49"/>
      <c r="O49"/>
      <c r="P49"/>
      <c r="Q49"/>
      <c r="R49"/>
      <c r="S49"/>
      <c r="T49"/>
    </row>
    <row r="50" spans="1:21" ht="15">
      <c r="A50"/>
      <c r="B50"/>
      <c r="C50"/>
      <c r="D50"/>
      <c r="E50"/>
      <c r="F50"/>
      <c r="G50"/>
      <c r="H50"/>
      <c r="I50"/>
      <c r="J50"/>
      <c r="K50"/>
      <c r="L50"/>
      <c r="M50"/>
      <c r="N50"/>
      <c r="O50"/>
      <c r="P50"/>
      <c r="Q50"/>
      <c r="R50"/>
      <c r="S50"/>
      <c r="T50"/>
    </row>
    <row r="51" spans="1:21" ht="15">
      <c r="A51"/>
      <c r="B51"/>
      <c r="C51"/>
      <c r="D51"/>
      <c r="E51"/>
      <c r="F51"/>
      <c r="G51"/>
      <c r="H51"/>
      <c r="I51"/>
      <c r="J51"/>
      <c r="K51"/>
      <c r="L51"/>
      <c r="M51"/>
      <c r="N51"/>
      <c r="O51"/>
      <c r="P51"/>
      <c r="Q51"/>
      <c r="R51"/>
      <c r="S51"/>
      <c r="T51"/>
    </row>
    <row r="52" spans="1:21" ht="15">
      <c r="A52"/>
      <c r="B52"/>
      <c r="C52"/>
      <c r="D52"/>
      <c r="E52"/>
      <c r="F52"/>
      <c r="G52"/>
      <c r="H52"/>
      <c r="I52"/>
      <c r="J52"/>
      <c r="K52"/>
      <c r="L52"/>
      <c r="M52"/>
      <c r="N52"/>
      <c r="O52"/>
      <c r="P52"/>
      <c r="Q52"/>
      <c r="R52"/>
      <c r="S52"/>
      <c r="T52"/>
    </row>
    <row r="53" spans="1:21" ht="15">
      <c r="A53"/>
      <c r="B53"/>
      <c r="C53"/>
      <c r="D53"/>
      <c r="E53"/>
      <c r="F53"/>
      <c r="G53"/>
      <c r="H53"/>
      <c r="I53"/>
      <c r="J53"/>
      <c r="K53"/>
      <c r="L53"/>
      <c r="M53"/>
      <c r="N53"/>
      <c r="O53"/>
      <c r="P53"/>
      <c r="Q53"/>
      <c r="R53"/>
      <c r="S53"/>
      <c r="T53"/>
    </row>
    <row r="54" spans="1:21" ht="15">
      <c r="A54"/>
      <c r="B54"/>
      <c r="C54"/>
      <c r="D54"/>
      <c r="E54"/>
      <c r="F54"/>
      <c r="G54"/>
      <c r="H54"/>
      <c r="I54"/>
      <c r="J54"/>
      <c r="K54"/>
      <c r="L54"/>
      <c r="M54"/>
      <c r="N54"/>
      <c r="O54"/>
      <c r="P54"/>
      <c r="Q54"/>
      <c r="R54"/>
      <c r="S54"/>
      <c r="T54"/>
    </row>
    <row r="55" spans="1:21" ht="7.5" customHeight="1">
      <c r="A55"/>
      <c r="B55"/>
      <c r="C55"/>
      <c r="D55"/>
      <c r="E55"/>
      <c r="F55"/>
      <c r="G55"/>
      <c r="H55"/>
      <c r="I55"/>
      <c r="J55"/>
      <c r="K55"/>
      <c r="L55"/>
      <c r="M55"/>
      <c r="N55"/>
      <c r="O55"/>
      <c r="P55"/>
      <c r="Q55"/>
      <c r="R55"/>
      <c r="S55"/>
      <c r="T55"/>
    </row>
    <row r="56" spans="1:21" ht="15" customHeight="1">
      <c r="A56"/>
      <c r="B56"/>
      <c r="C56"/>
      <c r="D56"/>
      <c r="E56"/>
      <c r="F56" s="1105" t="s">
        <v>1039</v>
      </c>
      <c r="G56" s="1105"/>
      <c r="H56" s="1105"/>
      <c r="I56" s="1105"/>
      <c r="J56" s="1105"/>
      <c r="K56" s="1105"/>
      <c r="L56" s="1105"/>
      <c r="M56" s="1105"/>
      <c r="N56" s="1105"/>
      <c r="O56" s="1105"/>
      <c r="P56" s="1105"/>
      <c r="Q56" s="1105"/>
      <c r="R56" s="1105"/>
      <c r="S56" s="1105"/>
      <c r="T56" s="1105"/>
      <c r="U56" s="593"/>
    </row>
    <row r="57" spans="1:21" ht="12.75" customHeight="1">
      <c r="A57"/>
      <c r="B57"/>
      <c r="C57"/>
      <c r="D57"/>
      <c r="E57"/>
      <c r="F57" s="1105"/>
      <c r="G57" s="1105"/>
      <c r="H57" s="1105"/>
      <c r="I57" s="1105"/>
      <c r="J57" s="1105"/>
      <c r="K57" s="1105"/>
      <c r="L57" s="1105"/>
      <c r="M57" s="1105"/>
      <c r="N57" s="1105"/>
      <c r="O57" s="1105"/>
      <c r="P57" s="1105"/>
      <c r="Q57" s="1105"/>
      <c r="R57" s="1105"/>
      <c r="S57" s="1105"/>
      <c r="T57" s="1105"/>
      <c r="U57" s="593"/>
    </row>
    <row r="58" spans="1:21" ht="15" customHeight="1">
      <c r="A58"/>
      <c r="B58"/>
      <c r="C58"/>
      <c r="D58"/>
      <c r="E58"/>
      <c r="F58" s="1105"/>
      <c r="G58" s="1105"/>
      <c r="H58" s="1105"/>
      <c r="I58" s="1105"/>
      <c r="J58" s="1105"/>
      <c r="K58" s="1105"/>
      <c r="L58" s="1105"/>
      <c r="M58" s="1105"/>
      <c r="N58" s="1105"/>
      <c r="O58" s="1105"/>
      <c r="P58" s="1105"/>
      <c r="Q58" s="1105"/>
      <c r="R58" s="1105"/>
      <c r="S58" s="1105"/>
      <c r="T58" s="1105"/>
      <c r="U58" s="593"/>
    </row>
    <row r="59" spans="1:21" customFormat="1" ht="12.75" customHeight="1">
      <c r="F59" s="1105"/>
      <c r="G59" s="1105"/>
      <c r="H59" s="1105"/>
      <c r="I59" s="1105"/>
      <c r="J59" s="1105"/>
      <c r="K59" s="1105"/>
      <c r="L59" s="1105"/>
      <c r="M59" s="1105"/>
      <c r="N59" s="1105"/>
      <c r="O59" s="1105"/>
      <c r="P59" s="1105"/>
      <c r="Q59" s="1105"/>
      <c r="R59" s="1105"/>
      <c r="S59" s="1105"/>
      <c r="T59" s="1105"/>
      <c r="U59" s="163"/>
    </row>
    <row r="60" spans="1:21" customFormat="1" ht="4.5" customHeight="1">
      <c r="U60" s="163"/>
    </row>
    <row r="61" spans="1:21" ht="15" customHeight="1">
      <c r="A61" s="1102" t="s">
        <v>1261</v>
      </c>
      <c r="B61" s="1102"/>
      <c r="C61" s="1102"/>
      <c r="D61" s="1102"/>
      <c r="E61" s="1102"/>
      <c r="F61" s="1102"/>
      <c r="G61" s="1102"/>
      <c r="H61" s="1102"/>
      <c r="I61" s="1102"/>
      <c r="J61" s="1102"/>
      <c r="K61" s="1102"/>
      <c r="L61" s="1102"/>
      <c r="M61" s="1102"/>
      <c r="N61" s="1102"/>
      <c r="O61" s="1102"/>
      <c r="P61" s="1102"/>
      <c r="Q61" s="1102"/>
      <c r="R61" s="1102"/>
      <c r="S61" s="1102"/>
      <c r="T61" s="1102"/>
      <c r="U61" s="784"/>
    </row>
    <row r="62" spans="1:21" ht="15" customHeight="1">
      <c r="A62" s="1102"/>
      <c r="B62" s="1102"/>
      <c r="C62" s="1102"/>
      <c r="D62" s="1102"/>
      <c r="E62" s="1102"/>
      <c r="F62" s="1102"/>
      <c r="G62" s="1102"/>
      <c r="H62" s="1102"/>
      <c r="I62" s="1102"/>
      <c r="J62" s="1102"/>
      <c r="K62" s="1102"/>
      <c r="L62" s="1102"/>
      <c r="M62" s="1102"/>
      <c r="N62" s="1102"/>
      <c r="O62" s="1102"/>
      <c r="P62" s="1102"/>
      <c r="Q62" s="1102"/>
      <c r="R62" s="1102"/>
      <c r="S62" s="1102"/>
      <c r="T62" s="1102"/>
      <c r="U62" s="784"/>
    </row>
    <row r="63" spans="1:21" ht="7.5" customHeight="1" thickBot="1">
      <c r="F63" s="878"/>
      <c r="G63" s="878"/>
      <c r="H63" s="878"/>
      <c r="I63" s="878"/>
      <c r="J63" s="878"/>
      <c r="K63" s="878"/>
      <c r="L63" s="878"/>
      <c r="M63" s="878"/>
      <c r="N63" s="878"/>
      <c r="O63" s="878"/>
      <c r="P63" s="878"/>
      <c r="Q63" s="878"/>
      <c r="R63" s="878"/>
      <c r="S63" s="878"/>
      <c r="T63" s="878"/>
    </row>
    <row r="64" spans="1:21" customFormat="1" ht="16.5" thickTop="1" thickBot="1">
      <c r="A64" s="1011" t="s">
        <v>1077</v>
      </c>
      <c r="B64" s="1012"/>
      <c r="C64" s="1013"/>
      <c r="D64" s="327"/>
      <c r="E64" s="327"/>
      <c r="F64" s="327"/>
      <c r="G64" s="327"/>
      <c r="H64" s="994" t="s">
        <v>2</v>
      </c>
      <c r="I64" s="995"/>
      <c r="J64" s="995"/>
      <c r="K64" s="996"/>
      <c r="L64" s="554"/>
      <c r="M64" s="555"/>
      <c r="N64" s="554"/>
      <c r="O64" s="327"/>
      <c r="P64" s="997" t="s">
        <v>461</v>
      </c>
      <c r="Q64" s="998"/>
      <c r="R64" s="998"/>
      <c r="S64" s="999"/>
      <c r="T64" s="410"/>
    </row>
    <row r="65" spans="1:25" customFormat="1" ht="7.5" customHeight="1" thickTop="1">
      <c r="A65" s="534"/>
      <c r="B65" s="534"/>
      <c r="C65" s="534"/>
      <c r="D65" s="327"/>
      <c r="E65" s="327"/>
      <c r="F65" s="327"/>
      <c r="G65" s="327"/>
      <c r="T65" s="410"/>
      <c r="V65" s="198"/>
      <c r="W65" s="198"/>
      <c r="X65" s="198"/>
      <c r="Y65" s="198"/>
    </row>
    <row r="66" spans="1:25" customFormat="1" ht="15">
      <c r="A66" s="975" t="s">
        <v>2033</v>
      </c>
      <c r="B66" s="854"/>
      <c r="C66" s="854"/>
      <c r="D66" s="854"/>
      <c r="E66" s="854"/>
      <c r="F66" s="854"/>
      <c r="G66" s="854"/>
      <c r="H66" s="854"/>
      <c r="I66" s="854"/>
      <c r="J66" s="854"/>
      <c r="K66" s="435"/>
      <c r="L66" s="435"/>
      <c r="M66" s="662"/>
      <c r="T66" s="336"/>
      <c r="U66" s="198"/>
      <c r="V66" s="198"/>
      <c r="W66" s="198"/>
      <c r="X66" s="198"/>
      <c r="Y66" s="198"/>
    </row>
    <row r="67" spans="1:25" ht="15">
      <c r="E67" s="403"/>
      <c r="G67" s="1205" t="s">
        <v>614</v>
      </c>
      <c r="H67" s="1199"/>
      <c r="I67" s="1205" t="s">
        <v>615</v>
      </c>
      <c r="J67" s="1199"/>
      <c r="K67" s="310"/>
      <c r="L67" s="310"/>
      <c r="M67" s="310"/>
      <c r="N67" s="310"/>
      <c r="O67" s="310"/>
      <c r="Q67" s="1205" t="s">
        <v>614</v>
      </c>
      <c r="R67" s="1199"/>
      <c r="S67" s="1205" t="s">
        <v>615</v>
      </c>
      <c r="T67" s="1199"/>
    </row>
    <row r="68" spans="1:25">
      <c r="A68" s="1202" t="str">
        <f>'D_Ch2-2'!C83</f>
        <v>Agents d'entretien y compris ATSEM</v>
      </c>
      <c r="B68" s="1203"/>
      <c r="C68" s="1203"/>
      <c r="D68" s="1203"/>
      <c r="E68" s="1203"/>
      <c r="F68" s="1204"/>
      <c r="G68" s="1196">
        <f>'D_Ch2-2'!D83</f>
        <v>2976.0963388</v>
      </c>
      <c r="H68" s="1199"/>
      <c r="I68" s="1200">
        <f>'D_Ch2-2'!G83</f>
        <v>7.6139671822583438E-2</v>
      </c>
      <c r="J68" s="1201"/>
      <c r="K68" s="1202" t="str">
        <f>'D_Ch2-2'!L83</f>
        <v xml:space="preserve">Ingénieurs informatique </v>
      </c>
      <c r="L68" s="1203"/>
      <c r="M68" s="1203"/>
      <c r="N68" s="1203"/>
      <c r="O68" s="1203"/>
      <c r="P68" s="1204"/>
      <c r="Q68" s="1196">
        <f>'D_Ch2-2'!M83</f>
        <v>2021.8138199</v>
      </c>
      <c r="R68" s="1199"/>
      <c r="S68" s="1200">
        <f>'D_Ch2-2'!P83</f>
        <v>4.7759253118851597E-2</v>
      </c>
      <c r="T68" s="1206"/>
    </row>
    <row r="69" spans="1:25" ht="12.75" customHeight="1">
      <c r="A69" s="1202" t="str">
        <f>'D_Ch2-2'!C84</f>
        <v>Télévendeurs</v>
      </c>
      <c r="B69" s="1203"/>
      <c r="C69" s="1203"/>
      <c r="D69" s="1203"/>
      <c r="E69" s="1203"/>
      <c r="F69" s="1204"/>
      <c r="G69" s="1196">
        <f>'D_Ch2-2'!D84</f>
        <v>1397.6380833000001</v>
      </c>
      <c r="H69" s="1199"/>
      <c r="I69" s="1200">
        <f>'D_Ch2-2'!G84</f>
        <v>3.5756807870041832E-2</v>
      </c>
      <c r="J69" s="1201"/>
      <c r="K69" s="1202" t="str">
        <f>'D_Ch2-2'!L84</f>
        <v>Agents d'entretien y compris ATSEM</v>
      </c>
      <c r="L69" s="1203"/>
      <c r="M69" s="1203"/>
      <c r="N69" s="1203"/>
      <c r="O69" s="1203"/>
      <c r="P69" s="1204"/>
      <c r="Q69" s="1196">
        <f>'D_Ch2-2'!M84</f>
        <v>1862.5829286999999</v>
      </c>
      <c r="R69" s="1199"/>
      <c r="S69" s="1200">
        <f>'D_Ch2-2'!P84</f>
        <v>4.3997903600755388E-2</v>
      </c>
      <c r="T69" s="1206"/>
    </row>
    <row r="70" spans="1:25">
      <c r="A70" s="1202" t="str">
        <f>'D_Ch2-2'!C85</f>
        <v xml:space="preserve">Professionnels de l'animation </v>
      </c>
      <c r="B70" s="1203"/>
      <c r="C70" s="1203"/>
      <c r="D70" s="1203"/>
      <c r="E70" s="1203"/>
      <c r="F70" s="1204"/>
      <c r="G70" s="1196">
        <f>'D_Ch2-2'!D85</f>
        <v>1355.2285819000001</v>
      </c>
      <c r="H70" s="1199"/>
      <c r="I70" s="1200">
        <f>'D_Ch2-2'!G85</f>
        <v>3.4671814257214981E-2</v>
      </c>
      <c r="J70" s="1201"/>
      <c r="K70" s="1202" t="str">
        <f>'D_Ch2-2'!L85</f>
        <v>Aides à domicile</v>
      </c>
      <c r="L70" s="1203"/>
      <c r="M70" s="1203"/>
      <c r="N70" s="1203"/>
      <c r="O70" s="1203"/>
      <c r="P70" s="1204"/>
      <c r="Q70" s="1196">
        <f>'D_Ch2-2'!M85</f>
        <v>1631.9267875</v>
      </c>
      <c r="R70" s="1199"/>
      <c r="S70" s="1200">
        <f>'D_Ch2-2'!P85</f>
        <v>3.8549347990658102E-2</v>
      </c>
      <c r="T70" s="1206"/>
    </row>
    <row r="71" spans="1:25">
      <c r="A71" s="1202" t="str">
        <f>'D_Ch2-2'!C86</f>
        <v>Apprentis de restauration</v>
      </c>
      <c r="B71" s="1203"/>
      <c r="C71" s="1203"/>
      <c r="D71" s="1203"/>
      <c r="E71" s="1203"/>
      <c r="F71" s="1204"/>
      <c r="G71" s="1196">
        <f>'D_Ch2-2'!D86</f>
        <v>1112.1278262000001</v>
      </c>
      <c r="H71" s="1199"/>
      <c r="I71" s="1200">
        <f>'D_Ch2-2'!G86</f>
        <v>2.8452387984783441E-2</v>
      </c>
      <c r="J71" s="1201"/>
      <c r="K71" s="1202" t="str">
        <f>'D_Ch2-2'!L86</f>
        <v xml:space="preserve">Agents de sécurité </v>
      </c>
      <c r="L71" s="1203"/>
      <c r="M71" s="1203"/>
      <c r="N71" s="1203"/>
      <c r="O71" s="1203"/>
      <c r="P71" s="1204"/>
      <c r="Q71" s="1196">
        <f>'D_Ch2-2'!M86</f>
        <v>1527.4977822000001</v>
      </c>
      <c r="R71" s="1199"/>
      <c r="S71" s="1200">
        <f>'D_Ch2-2'!P86</f>
        <v>3.6082527728583093E-2</v>
      </c>
      <c r="T71" s="1206"/>
    </row>
    <row r="72" spans="1:25">
      <c r="A72" s="1202" t="str">
        <f>'D_Ch2-2'!C87</f>
        <v>Manutentionnaires</v>
      </c>
      <c r="B72" s="1203"/>
      <c r="C72" s="1203"/>
      <c r="D72" s="1203"/>
      <c r="E72" s="1203"/>
      <c r="F72" s="1204"/>
      <c r="G72" s="1196">
        <f>'D_Ch2-2'!D87</f>
        <v>997.95615493000003</v>
      </c>
      <c r="H72" s="1199"/>
      <c r="I72" s="1200">
        <f>'D_Ch2-2'!G87</f>
        <v>2.553144975150071E-2</v>
      </c>
      <c r="J72" s="1201"/>
      <c r="K72" s="1202" t="str">
        <f>'D_Ch2-2'!L87</f>
        <v xml:space="preserve">Professionnels de l'animation </v>
      </c>
      <c r="L72" s="1203"/>
      <c r="M72" s="1203"/>
      <c r="N72" s="1203"/>
      <c r="O72" s="1203"/>
      <c r="P72" s="1204"/>
      <c r="Q72" s="1196">
        <f>'D_Ch2-2'!M87</f>
        <v>1303.0742241</v>
      </c>
      <c r="R72" s="1199"/>
      <c r="S72" s="1200">
        <f>'D_Ch2-2'!P87</f>
        <v>3.0781198094946831E-2</v>
      </c>
      <c r="T72" s="1206"/>
    </row>
    <row r="73" spans="1:25" ht="10.5" customHeight="1">
      <c r="K73" s="310"/>
      <c r="L73" s="310"/>
      <c r="M73" s="310"/>
      <c r="N73" s="310"/>
      <c r="O73" s="310"/>
      <c r="P73" s="310"/>
      <c r="Q73" s="310"/>
      <c r="R73" s="310"/>
    </row>
    <row r="74" spans="1:25" ht="15">
      <c r="A74" s="434" t="s">
        <v>1099</v>
      </c>
      <c r="B74" s="435"/>
      <c r="C74" s="435"/>
      <c r="D74" s="435"/>
      <c r="E74" s="435"/>
      <c r="F74" s="435"/>
      <c r="G74" s="435"/>
      <c r="H74" s="435"/>
      <c r="I74" s="435"/>
      <c r="J74" s="435"/>
      <c r="K74" s="436"/>
      <c r="L74" s="436"/>
      <c r="M74" s="436"/>
      <c r="N74" s="436"/>
      <c r="O74" s="436"/>
      <c r="P74" s="436"/>
      <c r="Q74" s="436"/>
      <c r="R74" s="436"/>
      <c r="S74" s="435"/>
      <c r="T74" s="435"/>
    </row>
    <row r="75" spans="1:25" ht="6.75" customHeight="1">
      <c r="K75" s="310"/>
      <c r="L75" s="310"/>
      <c r="M75" s="310"/>
      <c r="N75" s="310"/>
      <c r="O75" s="310"/>
      <c r="P75" s="310"/>
      <c r="Q75" s="310"/>
      <c r="R75" s="310"/>
    </row>
    <row r="76" spans="1:25" ht="15">
      <c r="A76" s="1218" t="str">
        <f>H64</f>
        <v>Bordeaux</v>
      </c>
      <c r="B76" s="1218"/>
      <c r="C76" s="1218"/>
      <c r="D76" s="1218"/>
      <c r="K76" s="310"/>
      <c r="L76" s="310"/>
      <c r="M76" s="310"/>
      <c r="N76" s="310"/>
      <c r="O76" s="310"/>
      <c r="P76" s="310"/>
      <c r="Q76" s="310"/>
      <c r="R76" s="310"/>
    </row>
    <row r="77" spans="1:25" ht="15">
      <c r="K77" s="310"/>
      <c r="L77" s="310"/>
      <c r="M77" s="310"/>
      <c r="N77" s="310"/>
      <c r="O77" s="310"/>
      <c r="P77" s="310"/>
      <c r="Q77" s="310"/>
      <c r="R77" s="310"/>
    </row>
    <row r="78" spans="1:25" ht="15">
      <c r="K78" s="310"/>
      <c r="L78" s="310"/>
      <c r="M78" s="310"/>
      <c r="N78" s="310"/>
      <c r="O78" s="310"/>
      <c r="P78" s="310"/>
      <c r="Q78" s="310"/>
      <c r="R78" s="310"/>
    </row>
    <row r="79" spans="1:25" ht="15">
      <c r="K79" s="310"/>
      <c r="L79" s="310"/>
      <c r="M79" s="310"/>
      <c r="N79" s="310"/>
      <c r="O79" s="310"/>
      <c r="P79" s="310"/>
      <c r="Q79" s="310"/>
      <c r="R79" s="310"/>
    </row>
    <row r="80" spans="1:25"/>
    <row r="81" spans="1:20">
      <c r="A81" s="198"/>
      <c r="B81" s="198"/>
      <c r="C81" s="198"/>
      <c r="D81" s="198"/>
      <c r="E81" s="198"/>
      <c r="F81" s="198"/>
      <c r="G81" s="198"/>
      <c r="H81" s="198"/>
      <c r="I81" s="198"/>
      <c r="J81" s="198"/>
      <c r="K81" s="198"/>
      <c r="L81" s="198"/>
      <c r="M81" s="198"/>
      <c r="N81" s="198"/>
      <c r="O81" s="198"/>
      <c r="P81" s="198"/>
      <c r="Q81" s="198"/>
      <c r="R81" s="198"/>
      <c r="S81" s="198"/>
      <c r="T81" s="198"/>
    </row>
    <row r="82" spans="1:20">
      <c r="A82" s="198"/>
      <c r="B82" s="198"/>
      <c r="C82" s="198"/>
      <c r="D82" s="198"/>
      <c r="E82" s="198"/>
      <c r="F82" s="198"/>
      <c r="G82" s="198"/>
      <c r="H82" s="198"/>
      <c r="I82" s="198"/>
      <c r="J82" s="198"/>
      <c r="K82" s="198"/>
      <c r="L82" s="198"/>
      <c r="M82" s="198"/>
      <c r="N82" s="198"/>
      <c r="O82" s="198"/>
      <c r="P82" s="198"/>
      <c r="Q82" s="198"/>
      <c r="R82" s="198"/>
      <c r="S82" s="198"/>
      <c r="T82" s="198"/>
    </row>
    <row r="83" spans="1:20" s="367" customFormat="1" ht="18.75" customHeight="1"/>
    <row r="84" spans="1:20">
      <c r="A84" s="198"/>
      <c r="B84" s="198"/>
      <c r="C84" s="198"/>
      <c r="D84" s="198"/>
      <c r="E84" s="198"/>
      <c r="F84" s="198"/>
      <c r="G84" s="198"/>
      <c r="H84" s="198"/>
      <c r="I84" s="198"/>
      <c r="J84" s="198"/>
      <c r="K84" s="198"/>
      <c r="L84" s="198"/>
      <c r="M84" s="198"/>
      <c r="N84" s="198"/>
      <c r="O84" s="198"/>
      <c r="P84" s="198"/>
      <c r="Q84" s="198"/>
      <c r="R84" s="198"/>
      <c r="S84" s="198"/>
      <c r="T84" s="198"/>
    </row>
    <row r="85" spans="1:20">
      <c r="A85" s="198"/>
      <c r="B85" s="198"/>
      <c r="C85" s="198"/>
      <c r="D85" s="198"/>
      <c r="E85" s="198"/>
      <c r="F85" s="198"/>
      <c r="G85" s="198"/>
      <c r="H85" s="198"/>
      <c r="I85" s="198"/>
      <c r="J85" s="198"/>
      <c r="K85" s="198"/>
      <c r="L85" s="198"/>
      <c r="M85" s="198"/>
      <c r="N85" s="198"/>
      <c r="O85" s="198"/>
      <c r="P85" s="198"/>
      <c r="Q85" s="198"/>
      <c r="R85" s="198"/>
      <c r="S85" s="198"/>
      <c r="T85" s="198"/>
    </row>
    <row r="86" spans="1:20">
      <c r="A86" s="198"/>
      <c r="B86" s="198"/>
      <c r="C86" s="198"/>
      <c r="D86" s="198"/>
      <c r="E86" s="198"/>
      <c r="F86" s="198"/>
      <c r="G86" s="198"/>
      <c r="H86" s="198"/>
      <c r="I86" s="198"/>
      <c r="J86" s="198"/>
      <c r="K86" s="198"/>
      <c r="L86" s="198"/>
      <c r="M86" s="198"/>
      <c r="N86" s="198"/>
      <c r="O86" s="198"/>
      <c r="P86" s="198"/>
      <c r="Q86" s="198"/>
      <c r="R86" s="198"/>
      <c r="S86" s="198"/>
      <c r="T86" s="198"/>
    </row>
    <row r="87" spans="1:20">
      <c r="A87" s="198"/>
      <c r="B87" s="198"/>
      <c r="C87" s="198"/>
      <c r="D87" s="198"/>
      <c r="E87" s="198"/>
      <c r="F87" s="198"/>
      <c r="G87" s="198"/>
      <c r="H87" s="198"/>
      <c r="I87" s="198"/>
      <c r="J87" s="198"/>
      <c r="K87" s="198"/>
      <c r="L87" s="198"/>
      <c r="M87" s="198"/>
      <c r="N87" s="198"/>
      <c r="O87" s="198"/>
      <c r="P87" s="198"/>
      <c r="Q87" s="198"/>
      <c r="R87" s="198"/>
      <c r="S87" s="198"/>
      <c r="T87" s="198"/>
    </row>
    <row r="88" spans="1:20">
      <c r="A88" s="198"/>
      <c r="B88" s="198"/>
      <c r="C88" s="198"/>
      <c r="D88" s="198"/>
      <c r="E88" s="198"/>
      <c r="F88" s="198"/>
      <c r="G88" s="198"/>
      <c r="H88" s="198"/>
      <c r="I88" s="198"/>
      <c r="J88" s="198"/>
      <c r="K88" s="198"/>
      <c r="L88" s="198"/>
      <c r="M88" s="198"/>
      <c r="N88" s="198"/>
      <c r="O88" s="198"/>
      <c r="P88" s="198"/>
      <c r="Q88" s="198"/>
      <c r="R88" s="198"/>
      <c r="S88" s="198"/>
      <c r="T88" s="198"/>
    </row>
    <row r="89" spans="1:20">
      <c r="A89" s="198"/>
      <c r="B89" s="198"/>
      <c r="C89" s="198"/>
      <c r="D89" s="198"/>
      <c r="E89" s="198"/>
      <c r="F89" s="198"/>
      <c r="G89" s="198"/>
      <c r="H89" s="198"/>
      <c r="I89" s="198"/>
      <c r="J89" s="198"/>
      <c r="K89" s="198"/>
      <c r="L89" s="198"/>
      <c r="M89" s="198"/>
      <c r="N89" s="198"/>
      <c r="O89" s="198"/>
      <c r="P89" s="198"/>
      <c r="Q89" s="198"/>
      <c r="R89" s="198"/>
      <c r="S89" s="198"/>
      <c r="T89" s="198"/>
    </row>
    <row r="90" spans="1:20" ht="8.25" customHeight="1">
      <c r="A90" s="198"/>
      <c r="B90" s="198"/>
      <c r="C90" s="198"/>
      <c r="D90" s="198"/>
      <c r="E90" s="198"/>
      <c r="F90" s="198"/>
      <c r="G90" s="198"/>
      <c r="H90" s="198"/>
      <c r="I90" s="198"/>
      <c r="J90" s="198"/>
      <c r="K90" s="198"/>
      <c r="L90" s="198"/>
      <c r="M90" s="198"/>
      <c r="N90" s="198"/>
      <c r="O90" s="198"/>
      <c r="P90" s="198"/>
      <c r="Q90" s="198"/>
      <c r="R90" s="198"/>
      <c r="S90" s="198"/>
      <c r="T90" s="198"/>
    </row>
    <row r="91" spans="1:20" s="381" customFormat="1" ht="19.5" customHeight="1"/>
    <row r="92" spans="1:20" ht="15">
      <c r="A92" s="198"/>
      <c r="B92" s="198"/>
      <c r="C92" s="198"/>
      <c r="D92" s="198"/>
      <c r="K92" s="310"/>
      <c r="L92" s="310"/>
      <c r="M92" s="310"/>
      <c r="N92" s="310"/>
      <c r="O92" s="310"/>
      <c r="P92" s="310"/>
      <c r="Q92" s="310"/>
      <c r="R92" s="310"/>
    </row>
    <row r="93" spans="1:20" ht="15">
      <c r="A93" s="596"/>
      <c r="B93" s="596"/>
      <c r="C93" s="596"/>
      <c r="D93" s="596"/>
      <c r="E93" s="596"/>
      <c r="F93" s="596"/>
      <c r="G93" s="596"/>
      <c r="H93" s="596"/>
      <c r="I93" s="596"/>
      <c r="J93" s="596"/>
      <c r="K93" s="595"/>
      <c r="L93" s="595"/>
      <c r="M93" s="595"/>
      <c r="N93" s="595"/>
      <c r="O93" s="595"/>
      <c r="P93" s="595"/>
      <c r="Q93" s="595"/>
      <c r="R93" s="595"/>
      <c r="S93" s="596"/>
      <c r="T93" s="596"/>
    </row>
    <row r="94" spans="1:20" ht="15">
      <c r="A94" s="596"/>
      <c r="B94" s="596"/>
      <c r="C94" s="596"/>
      <c r="D94" s="596"/>
      <c r="E94" s="596"/>
      <c r="F94" s="596"/>
      <c r="G94" s="596"/>
      <c r="H94" s="596"/>
      <c r="I94" s="596"/>
      <c r="J94" s="596"/>
      <c r="K94" s="595"/>
      <c r="L94" s="595"/>
      <c r="M94" s="595"/>
      <c r="N94" s="595"/>
      <c r="O94" s="595"/>
      <c r="P94" s="595"/>
      <c r="Q94" s="595"/>
      <c r="R94" s="595"/>
      <c r="S94" s="596"/>
      <c r="T94" s="596"/>
    </row>
    <row r="95" spans="1:20" ht="15">
      <c r="A95" s="845" t="s">
        <v>1746</v>
      </c>
      <c r="B95" s="845"/>
      <c r="C95" s="845"/>
      <c r="D95" s="845"/>
      <c r="E95" s="845"/>
      <c r="F95" s="845"/>
      <c r="G95" s="845"/>
      <c r="H95" s="845"/>
      <c r="I95" s="845"/>
      <c r="J95" s="845"/>
      <c r="K95" s="845"/>
      <c r="L95" s="845"/>
      <c r="M95" s="845"/>
      <c r="N95" s="845"/>
      <c r="O95" s="845"/>
      <c r="P95" s="845"/>
      <c r="Q95" s="845"/>
      <c r="R95" s="595"/>
      <c r="S95" s="596"/>
      <c r="T95" s="596"/>
    </row>
    <row r="96" spans="1:20" ht="15">
      <c r="A96" s="854" t="s">
        <v>1758</v>
      </c>
      <c r="B96" s="845"/>
      <c r="C96" s="845"/>
      <c r="D96" s="845"/>
      <c r="E96" s="845"/>
      <c r="F96" s="845"/>
      <c r="G96" s="845"/>
      <c r="H96" s="845"/>
      <c r="I96" s="845"/>
      <c r="J96" s="845"/>
      <c r="K96" s="845"/>
      <c r="L96" s="845"/>
      <c r="M96" s="845"/>
      <c r="N96" s="845"/>
      <c r="O96" s="845"/>
      <c r="P96" s="845"/>
      <c r="Q96" s="845"/>
      <c r="R96" s="595"/>
      <c r="S96" s="596"/>
      <c r="T96" s="596"/>
    </row>
    <row r="97" spans="1:27" ht="15">
      <c r="A97" s="439" t="s">
        <v>1100</v>
      </c>
      <c r="B97" s="435"/>
      <c r="C97" s="435"/>
      <c r="D97" s="435"/>
      <c r="E97" s="435"/>
      <c r="F97" s="435"/>
      <c r="G97" s="435"/>
      <c r="H97" s="435"/>
      <c r="I97" s="435"/>
      <c r="J97" s="434"/>
      <c r="K97" s="435"/>
      <c r="L97" s="310"/>
      <c r="M97" s="595"/>
      <c r="N97" s="595"/>
      <c r="O97" s="595"/>
      <c r="P97" s="595"/>
      <c r="Q97" s="595"/>
      <c r="R97" s="595"/>
      <c r="S97" s="596"/>
      <c r="T97" s="596"/>
    </row>
    <row r="98" spans="1:27" ht="15">
      <c r="A98" s="439"/>
      <c r="K98" s="310"/>
      <c r="L98" s="310"/>
      <c r="M98" s="595"/>
      <c r="N98" s="595"/>
      <c r="O98" s="595"/>
      <c r="P98" s="595"/>
      <c r="Q98" s="595"/>
      <c r="R98" s="595"/>
      <c r="S98" s="596"/>
      <c r="T98" s="596"/>
    </row>
    <row r="99" spans="1:27" ht="15">
      <c r="A99" s="596"/>
      <c r="B99" s="596"/>
      <c r="C99" s="596"/>
      <c r="D99" s="596"/>
      <c r="E99" s="596"/>
      <c r="F99" s="596"/>
      <c r="G99" s="596"/>
      <c r="H99" s="596"/>
      <c r="I99" s="596"/>
      <c r="J99" s="596"/>
      <c r="K99" s="595"/>
      <c r="L99" s="595"/>
      <c r="M99" s="595"/>
      <c r="N99" s="595"/>
      <c r="O99" s="595"/>
      <c r="P99" s="595"/>
      <c r="Q99" s="595"/>
      <c r="R99" s="595"/>
      <c r="S99" s="596"/>
      <c r="T99" s="596"/>
      <c r="Y99" s="212"/>
      <c r="Z99" s="212"/>
      <c r="AA99" s="212"/>
    </row>
    <row r="100" spans="1:27" ht="15">
      <c r="A100" s="596"/>
      <c r="B100" s="596"/>
      <c r="C100" s="596"/>
      <c r="D100" s="596"/>
      <c r="E100" s="596"/>
      <c r="F100" s="596"/>
      <c r="G100" s="596"/>
      <c r="H100" s="596"/>
      <c r="I100" s="596"/>
      <c r="J100" s="596"/>
      <c r="K100" s="595"/>
      <c r="L100" s="595"/>
      <c r="M100" s="595"/>
      <c r="N100" s="595"/>
      <c r="O100" s="595"/>
      <c r="P100" s="595"/>
      <c r="Q100" s="595"/>
      <c r="R100" s="595"/>
      <c r="S100" s="596"/>
      <c r="T100" s="596"/>
      <c r="Y100" s="212"/>
      <c r="Z100" s="212"/>
      <c r="AA100" s="212"/>
    </row>
    <row r="101" spans="1:27" ht="15">
      <c r="A101" s="596"/>
      <c r="B101" s="596"/>
      <c r="C101" s="596"/>
      <c r="D101" s="596"/>
      <c r="E101" s="596"/>
      <c r="F101" s="596"/>
      <c r="G101" s="596"/>
      <c r="H101" s="596"/>
      <c r="I101" s="596"/>
      <c r="J101" s="596"/>
      <c r="K101" s="595"/>
      <c r="L101" s="595"/>
      <c r="M101" s="595"/>
      <c r="N101" s="595"/>
      <c r="O101" s="595"/>
      <c r="P101" s="595"/>
      <c r="Q101" s="595"/>
      <c r="R101" s="595"/>
      <c r="S101" s="596"/>
      <c r="T101" s="596"/>
    </row>
    <row r="102" spans="1:27" ht="15">
      <c r="A102" s="596"/>
      <c r="B102" s="596"/>
      <c r="C102" s="596"/>
      <c r="D102" s="596"/>
      <c r="E102" s="596"/>
      <c r="F102" s="596"/>
      <c r="G102" s="596"/>
      <c r="H102" s="596"/>
      <c r="I102" s="596"/>
      <c r="J102" s="596"/>
      <c r="K102" s="595"/>
      <c r="L102" s="595"/>
      <c r="M102" s="595"/>
      <c r="N102" s="595"/>
      <c r="O102" s="595"/>
      <c r="P102" s="595"/>
      <c r="Q102" s="595"/>
      <c r="R102" s="595"/>
      <c r="S102" s="596"/>
      <c r="T102" s="596"/>
    </row>
    <row r="103" spans="1:27" ht="15">
      <c r="A103" s="596"/>
      <c r="B103" s="596"/>
      <c r="C103" s="596"/>
      <c r="D103" s="596"/>
      <c r="E103" s="596"/>
      <c r="F103" s="596"/>
      <c r="G103" s="596"/>
      <c r="H103" s="596"/>
      <c r="I103" s="596"/>
      <c r="J103" s="596"/>
      <c r="K103" s="595"/>
      <c r="L103" s="595"/>
      <c r="M103" s="595"/>
      <c r="N103" s="595"/>
      <c r="O103" s="595"/>
      <c r="P103" s="595"/>
      <c r="Q103" s="595"/>
      <c r="R103" s="595"/>
      <c r="S103" s="596"/>
      <c r="T103" s="596"/>
    </row>
    <row r="104" spans="1:27" ht="15">
      <c r="A104" s="596"/>
      <c r="B104" s="596"/>
      <c r="C104" s="596"/>
      <c r="D104" s="596"/>
      <c r="E104" s="596"/>
      <c r="F104" s="596"/>
      <c r="G104" s="596"/>
      <c r="H104" s="596"/>
      <c r="I104" s="596"/>
      <c r="J104" s="596"/>
      <c r="K104" s="595"/>
      <c r="L104" s="595"/>
      <c r="M104" s="595"/>
      <c r="N104" s="595"/>
      <c r="O104" s="595"/>
      <c r="P104" s="595"/>
      <c r="Q104" s="595"/>
      <c r="R104" s="595"/>
      <c r="S104" s="596"/>
      <c r="T104" s="596"/>
    </row>
    <row r="105" spans="1:27" ht="15">
      <c r="A105" s="596"/>
      <c r="B105" s="596"/>
      <c r="C105" s="596"/>
      <c r="D105" s="596"/>
      <c r="E105" s="596"/>
      <c r="F105" s="596"/>
      <c r="G105" s="596"/>
      <c r="H105" s="596"/>
      <c r="I105" s="596"/>
      <c r="J105" s="596"/>
      <c r="K105" s="595"/>
      <c r="L105" s="595"/>
      <c r="M105" s="595"/>
      <c r="N105" s="595"/>
      <c r="O105" s="595"/>
      <c r="P105" s="595"/>
      <c r="Q105" s="595"/>
      <c r="R105" s="595"/>
      <c r="S105" s="596"/>
      <c r="T105" s="596"/>
    </row>
    <row r="106" spans="1:27" ht="15">
      <c r="A106" s="596"/>
      <c r="B106" s="596"/>
      <c r="C106" s="596"/>
      <c r="D106" s="596"/>
      <c r="E106" s="596"/>
      <c r="F106" s="596"/>
      <c r="G106" s="596"/>
      <c r="H106" s="596"/>
      <c r="I106" s="596"/>
      <c r="J106" s="596"/>
      <c r="K106" s="595"/>
      <c r="L106" s="595"/>
      <c r="M106" s="595"/>
      <c r="N106" s="595"/>
      <c r="O106" s="595"/>
      <c r="P106" s="595"/>
      <c r="Q106" s="595"/>
      <c r="R106" s="595"/>
      <c r="S106" s="596"/>
      <c r="T106" s="596"/>
    </row>
    <row r="107" spans="1:27" ht="15">
      <c r="A107" s="596"/>
      <c r="B107" s="596"/>
      <c r="C107" s="596"/>
      <c r="D107" s="596"/>
      <c r="E107" s="596"/>
      <c r="F107" s="596"/>
      <c r="G107" s="596"/>
      <c r="H107" s="596"/>
      <c r="I107" s="596"/>
      <c r="J107" s="596"/>
      <c r="K107" s="595"/>
      <c r="L107" s="595"/>
      <c r="M107" s="595"/>
      <c r="N107" s="595"/>
      <c r="O107" s="595"/>
      <c r="P107" s="595"/>
      <c r="Q107" s="595"/>
      <c r="R107" s="595"/>
      <c r="S107" s="596"/>
      <c r="T107" s="596"/>
    </row>
    <row r="108" spans="1:27" ht="15">
      <c r="A108" s="596"/>
      <c r="B108" s="596"/>
      <c r="C108" s="596"/>
      <c r="D108" s="596"/>
      <c r="E108" s="596"/>
      <c r="F108" s="596"/>
      <c r="G108" s="596"/>
      <c r="H108" s="596"/>
      <c r="I108" s="596"/>
      <c r="J108" s="596"/>
      <c r="K108" s="595"/>
      <c r="L108" s="595"/>
      <c r="M108" s="595"/>
      <c r="N108" s="595"/>
      <c r="O108" s="595"/>
      <c r="P108" s="595"/>
      <c r="Q108" s="595"/>
      <c r="R108" s="595"/>
      <c r="S108" s="596"/>
      <c r="T108" s="596"/>
    </row>
    <row r="109" spans="1:27" ht="15">
      <c r="A109" s="596"/>
      <c r="B109" s="596"/>
      <c r="C109" s="596"/>
      <c r="D109" s="596"/>
      <c r="E109" s="596"/>
      <c r="F109" s="596"/>
      <c r="G109" s="596"/>
      <c r="H109" s="596"/>
      <c r="I109" s="596"/>
      <c r="J109" s="596"/>
      <c r="K109" s="595"/>
      <c r="L109" s="595"/>
      <c r="M109" s="595"/>
      <c r="N109" s="595"/>
      <c r="O109" s="595"/>
      <c r="P109" s="595"/>
      <c r="Q109" s="595"/>
      <c r="R109" s="595"/>
      <c r="S109" s="596"/>
      <c r="T109" s="596"/>
    </row>
    <row r="110" spans="1:27" ht="15">
      <c r="A110" s="596"/>
      <c r="B110" s="596"/>
      <c r="C110" s="596"/>
      <c r="D110" s="596"/>
      <c r="E110" s="596"/>
      <c r="F110" s="596"/>
      <c r="G110" s="596"/>
      <c r="H110" s="596"/>
      <c r="I110" s="596"/>
      <c r="J110" s="596"/>
      <c r="K110" s="595"/>
      <c r="L110" s="595"/>
      <c r="M110" s="595"/>
      <c r="N110" s="595"/>
      <c r="O110" s="595"/>
      <c r="P110" s="595"/>
      <c r="Q110" s="595"/>
      <c r="R110" s="595"/>
      <c r="S110" s="596"/>
      <c r="T110" s="596"/>
    </row>
    <row r="111" spans="1:27" ht="15">
      <c r="A111" s="596"/>
      <c r="B111" s="596"/>
      <c r="C111" s="596"/>
      <c r="D111" s="596"/>
      <c r="E111" s="596"/>
      <c r="F111" s="596"/>
      <c r="G111" s="596"/>
      <c r="H111" s="596"/>
      <c r="I111" s="596"/>
      <c r="J111" s="596"/>
      <c r="K111" s="595"/>
      <c r="L111" s="595"/>
      <c r="M111" s="595"/>
      <c r="N111" s="595"/>
      <c r="O111" s="595"/>
      <c r="P111" s="595"/>
      <c r="Q111" s="595"/>
      <c r="R111" s="595"/>
      <c r="S111" s="596"/>
      <c r="T111" s="596"/>
    </row>
    <row r="112" spans="1:27" ht="15" customHeight="1">
      <c r="A112" s="324"/>
      <c r="B112" s="427"/>
      <c r="C112" s="428"/>
      <c r="D112" s="428"/>
      <c r="E112" s="428"/>
      <c r="F112" s="1105" t="s">
        <v>1039</v>
      </c>
      <c r="G112" s="1105"/>
      <c r="H112" s="1105"/>
      <c r="I112" s="1105"/>
      <c r="J112" s="1105"/>
      <c r="K112" s="1105"/>
      <c r="L112" s="1105"/>
      <c r="M112" s="1105"/>
      <c r="N112" s="1105"/>
      <c r="O112" s="1105"/>
      <c r="P112" s="1105"/>
      <c r="Q112" s="1105"/>
      <c r="R112" s="1105"/>
      <c r="S112" s="1105"/>
      <c r="T112" s="1105"/>
      <c r="U112" s="593"/>
    </row>
    <row r="113" spans="1:21" ht="12.75" customHeight="1">
      <c r="A113" s="429"/>
      <c r="B113" s="428"/>
      <c r="C113" s="428"/>
      <c r="D113" s="428"/>
      <c r="E113" s="428"/>
      <c r="F113" s="1105"/>
      <c r="G113" s="1105"/>
      <c r="H113" s="1105"/>
      <c r="I113" s="1105"/>
      <c r="J113" s="1105"/>
      <c r="K113" s="1105"/>
      <c r="L113" s="1105"/>
      <c r="M113" s="1105"/>
      <c r="N113" s="1105"/>
      <c r="O113" s="1105"/>
      <c r="P113" s="1105"/>
      <c r="Q113" s="1105"/>
      <c r="R113" s="1105"/>
      <c r="S113" s="1105"/>
      <c r="T113" s="1105"/>
      <c r="U113" s="593"/>
    </row>
    <row r="114" spans="1:21" ht="15" customHeight="1">
      <c r="A114" s="430"/>
      <c r="B114" s="428"/>
      <c r="C114" s="428"/>
      <c r="D114" s="428"/>
      <c r="E114" s="428"/>
      <c r="F114" s="1105"/>
      <c r="G114" s="1105"/>
      <c r="H114" s="1105"/>
      <c r="I114" s="1105"/>
      <c r="J114" s="1105"/>
      <c r="K114" s="1105"/>
      <c r="L114" s="1105"/>
      <c r="M114" s="1105"/>
      <c r="N114" s="1105"/>
      <c r="O114" s="1105"/>
      <c r="P114" s="1105"/>
      <c r="Q114" s="1105"/>
      <c r="R114" s="1105"/>
      <c r="S114" s="1105"/>
      <c r="T114" s="1105"/>
      <c r="U114" s="593"/>
    </row>
    <row r="115" spans="1:21" customFormat="1" ht="12.75" customHeight="1">
      <c r="F115" s="1105"/>
      <c r="G115" s="1105"/>
      <c r="H115" s="1105"/>
      <c r="I115" s="1105"/>
      <c r="J115" s="1105"/>
      <c r="K115" s="1105"/>
      <c r="L115" s="1105"/>
      <c r="M115" s="1105"/>
      <c r="N115" s="1105"/>
      <c r="O115" s="1105"/>
      <c r="P115" s="1105"/>
      <c r="Q115" s="1105"/>
      <c r="R115" s="1105"/>
      <c r="S115" s="1105"/>
      <c r="T115" s="1105"/>
      <c r="U115" s="163"/>
    </row>
    <row r="116" spans="1:21" customFormat="1" ht="4.5" customHeight="1">
      <c r="U116" s="163"/>
    </row>
    <row r="117" spans="1:21" ht="15" customHeight="1">
      <c r="A117" s="1102" t="s">
        <v>1261</v>
      </c>
      <c r="B117" s="1102"/>
      <c r="C117" s="1102"/>
      <c r="D117" s="1102"/>
      <c r="E117" s="1102"/>
      <c r="F117" s="1102"/>
      <c r="G117" s="1102"/>
      <c r="H117" s="1102"/>
      <c r="I117" s="1102"/>
      <c r="J117" s="1102"/>
      <c r="K117" s="1102"/>
      <c r="L117" s="1102"/>
      <c r="M117" s="1102"/>
      <c r="N117" s="1102"/>
      <c r="O117" s="1102"/>
      <c r="P117" s="1102"/>
      <c r="Q117" s="1102"/>
      <c r="R117" s="1102"/>
      <c r="S117" s="1102"/>
      <c r="T117" s="1102"/>
      <c r="U117" s="784"/>
    </row>
    <row r="118" spans="1:21" ht="15" customHeight="1">
      <c r="A118" s="1102"/>
      <c r="B118" s="1102"/>
      <c r="C118" s="1102"/>
      <c r="D118" s="1102"/>
      <c r="E118" s="1102"/>
      <c r="F118" s="1102"/>
      <c r="G118" s="1102"/>
      <c r="H118" s="1102"/>
      <c r="I118" s="1102"/>
      <c r="J118" s="1102"/>
      <c r="K118" s="1102"/>
      <c r="L118" s="1102"/>
      <c r="M118" s="1102"/>
      <c r="N118" s="1102"/>
      <c r="O118" s="1102"/>
      <c r="P118" s="1102"/>
      <c r="Q118" s="1102"/>
      <c r="R118" s="1102"/>
      <c r="S118" s="1102"/>
      <c r="T118" s="1102"/>
      <c r="U118" s="784"/>
    </row>
    <row r="119" spans="1:21" customFormat="1" ht="15">
      <c r="A119" s="888" t="s">
        <v>1780</v>
      </c>
      <c r="B119" s="888"/>
      <c r="C119" s="888"/>
      <c r="D119" s="888"/>
      <c r="E119" s="888"/>
      <c r="F119" s="888"/>
      <c r="G119" s="888"/>
      <c r="H119" s="888"/>
      <c r="I119" s="888"/>
      <c r="J119" s="888"/>
      <c r="K119" s="888"/>
      <c r="L119" s="888"/>
      <c r="M119" s="888"/>
      <c r="N119" s="888"/>
      <c r="O119" s="888"/>
      <c r="P119" s="888"/>
      <c r="R119" s="163"/>
      <c r="S119" s="163"/>
      <c r="T119" s="327"/>
    </row>
    <row r="120" spans="1:21" ht="8.25" customHeight="1">
      <c r="A120" s="198"/>
      <c r="B120" s="198"/>
      <c r="C120" s="198"/>
      <c r="D120" s="198"/>
      <c r="E120" s="198"/>
      <c r="F120" s="198"/>
      <c r="G120" s="773"/>
      <c r="H120" s="773"/>
      <c r="I120" s="773"/>
      <c r="J120" s="773"/>
      <c r="K120" s="198"/>
      <c r="L120" s="198"/>
      <c r="M120" s="310"/>
      <c r="N120" s="464"/>
      <c r="O120" s="464"/>
      <c r="P120" s="464"/>
      <c r="Q120" s="464"/>
      <c r="R120" s="416"/>
      <c r="S120" s="416"/>
    </row>
    <row r="121" spans="1:21" ht="15" customHeight="1">
      <c r="D121" s="772"/>
      <c r="E121" s="772"/>
      <c r="F121" s="772"/>
      <c r="G121" s="774" t="s">
        <v>1936</v>
      </c>
      <c r="H121" s="773"/>
      <c r="I121" s="773"/>
      <c r="J121" s="773"/>
      <c r="K121" s="310"/>
      <c r="L121" s="772"/>
      <c r="M121" s="772"/>
      <c r="N121" s="772"/>
      <c r="O121" s="774" t="s">
        <v>1936</v>
      </c>
      <c r="P121" s="773"/>
      <c r="Q121" s="773"/>
      <c r="R121" s="773"/>
      <c r="S121"/>
    </row>
    <row r="122" spans="1:21" ht="15">
      <c r="D122" s="1202" t="str">
        <f>'D_Ch2-2'!L100</f>
        <v>Rhône</v>
      </c>
      <c r="E122" s="1203"/>
      <c r="F122" s="1203"/>
      <c r="G122" s="1204"/>
      <c r="H122" s="1212">
        <f>VLOOKUP(D122,'D_Ch2-2'!$L$99:$R$115,6,FALSE)</f>
        <v>544.49112941106205</v>
      </c>
      <c r="I122" s="1199"/>
      <c r="K122" s="310"/>
      <c r="L122" s="1209" t="str">
        <f>'D_Ch2-2'!L108</f>
        <v>Ille-et-Vilaine</v>
      </c>
      <c r="M122" s="1210"/>
      <c r="N122" s="1210"/>
      <c r="O122" s="1211"/>
      <c r="P122" s="1207">
        <f>VLOOKUP($L122,'D_Ch2-2'!$L$99:$R$115,6,FALSE)</f>
        <v>217.67535122679234</v>
      </c>
      <c r="Q122" s="1208"/>
      <c r="R122"/>
      <c r="S122"/>
    </row>
    <row r="123" spans="1:21" ht="15">
      <c r="D123" s="1202" t="str">
        <f>'D_Ch2-2'!L101</f>
        <v>Haute-Garonne</v>
      </c>
      <c r="E123" s="1203"/>
      <c r="F123" s="1203"/>
      <c r="G123" s="1204"/>
      <c r="H123" s="1212">
        <f>VLOOKUP($D123,'D_Ch2-2'!$L$99:$R$115,6,FALSE)</f>
        <v>388.46812673086197</v>
      </c>
      <c r="I123" s="1199"/>
      <c r="K123" s="310"/>
      <c r="L123" s="1202" t="str">
        <f>'D_Ch2-2'!L109</f>
        <v>Alpes-Maritimes</v>
      </c>
      <c r="M123" s="1203"/>
      <c r="N123" s="1203"/>
      <c r="O123" s="1204"/>
      <c r="P123" s="1212">
        <f>VLOOKUP($L123,'D_Ch2-2'!$L$99:$R$115,6,FALSE)</f>
        <v>212.38561284336524</v>
      </c>
      <c r="Q123" s="1199"/>
      <c r="R123"/>
      <c r="S123"/>
    </row>
    <row r="124" spans="1:21" ht="15">
      <c r="D124" s="1202" t="str">
        <f>'D_Ch2-2'!L102</f>
        <v>Loire-Atlantique</v>
      </c>
      <c r="E124" s="1203"/>
      <c r="F124" s="1203"/>
      <c r="G124" s="1204"/>
      <c r="H124" s="1212">
        <f>VLOOKUP($D124,'D_Ch2-2'!$L$99:$R$115,6,FALSE)</f>
        <v>315.11904522264791</v>
      </c>
      <c r="I124" s="1199"/>
      <c r="K124" s="310"/>
      <c r="L124" s="1213" t="str">
        <f>'D_Ch2-2'!L110</f>
        <v>F. Métro</v>
      </c>
      <c r="M124" s="1214"/>
      <c r="N124" s="1214"/>
      <c r="O124" s="1215"/>
      <c r="P124" s="1216">
        <f>VLOOKUP($L124,'D_Ch2-2'!$L$99:$R$115,6,FALSE)</f>
        <v>212.1454340982792</v>
      </c>
      <c r="Q124" s="1217"/>
      <c r="R124"/>
      <c r="S124"/>
    </row>
    <row r="125" spans="1:21" ht="15">
      <c r="D125" s="1202" t="str">
        <f>'D_Ch2-2'!L103</f>
        <v>Bouches-du-Rhône</v>
      </c>
      <c r="E125" s="1203"/>
      <c r="F125" s="1203"/>
      <c r="G125" s="1204"/>
      <c r="H125" s="1212">
        <f>VLOOKUP($D125,'D_Ch2-2'!$L$99:$R$115,6,FALSE)</f>
        <v>289.84626505822877</v>
      </c>
      <c r="I125" s="1199"/>
      <c r="K125" s="310"/>
      <c r="L125" s="1202" t="str">
        <f>'D_Ch2-2'!L111</f>
        <v>Seine-Maritime</v>
      </c>
      <c r="M125" s="1203"/>
      <c r="N125" s="1203"/>
      <c r="O125" s="1204"/>
      <c r="P125" s="1212">
        <f>VLOOKUP($L125,'D_Ch2-2'!$L$99:$R$115,6,FALSE)</f>
        <v>191.32558834341344</v>
      </c>
      <c r="Q125" s="1199"/>
      <c r="R125"/>
      <c r="S125"/>
    </row>
    <row r="126" spans="1:21" ht="15">
      <c r="D126" s="1202" t="str">
        <f>'D_Ch2-2'!L104</f>
        <v>Bas-Rhin</v>
      </c>
      <c r="E126" s="1203"/>
      <c r="F126" s="1203"/>
      <c r="G126" s="1204"/>
      <c r="H126" s="1212">
        <f>VLOOKUP($D126,'D_Ch2-2'!$L$99:$R$115,6,FALSE)</f>
        <v>241.21544808316116</v>
      </c>
      <c r="I126" s="1199"/>
      <c r="K126" s="310"/>
      <c r="L126" s="1202" t="str">
        <f>'D_Ch2-2'!L112</f>
        <v>Hérault</v>
      </c>
      <c r="M126" s="1203"/>
      <c r="N126" s="1203"/>
      <c r="O126" s="1204"/>
      <c r="P126" s="1212">
        <f>VLOOKUP($L126,'D_Ch2-2'!$L$99:$R$115,6,FALSE)</f>
        <v>163.97015526553611</v>
      </c>
      <c r="Q126" s="1199"/>
      <c r="R126"/>
      <c r="S126"/>
    </row>
    <row r="127" spans="1:21" ht="15">
      <c r="D127" s="1202" t="str">
        <f>'D_Ch2-2'!L105</f>
        <v>Isère</v>
      </c>
      <c r="E127" s="1203"/>
      <c r="F127" s="1203"/>
      <c r="G127" s="1204"/>
      <c r="H127" s="1212">
        <f>VLOOKUP($D127,'D_Ch2-2'!$L$99:$R$115,6,FALSE)</f>
        <v>225.53699407041697</v>
      </c>
      <c r="I127" s="1199"/>
      <c r="K127" s="310"/>
      <c r="L127" s="1202" t="str">
        <f>'D_Ch2-2'!L113</f>
        <v>Vaucluse</v>
      </c>
      <c r="M127" s="1203"/>
      <c r="N127" s="1203"/>
      <c r="O127" s="1204"/>
      <c r="P127" s="1212">
        <f>VLOOKUP($L127,'D_Ch2-2'!$L$99:$R$115,6,FALSE)</f>
        <v>129.98044343008965</v>
      </c>
      <c r="Q127" s="1199"/>
      <c r="R127"/>
      <c r="S127"/>
    </row>
    <row r="128" spans="1:21" ht="15">
      <c r="D128" s="1202" t="str">
        <f>'D_Ch2-2'!L106</f>
        <v>Nord</v>
      </c>
      <c r="E128" s="1203"/>
      <c r="F128" s="1203"/>
      <c r="G128" s="1204"/>
      <c r="H128" s="1212">
        <f>VLOOKUP($D128,'D_Ch2-2'!$L$99:$R$115,6,FALSE)</f>
        <v>223.839344183549</v>
      </c>
      <c r="I128" s="1199"/>
      <c r="K128" s="310"/>
      <c r="L128" s="1202" t="str">
        <f>'D_Ch2-2'!L114</f>
        <v>Var</v>
      </c>
      <c r="M128" s="1203"/>
      <c r="N128" s="1203"/>
      <c r="O128" s="1204"/>
      <c r="P128" s="1212">
        <f>VLOOKUP($L128,'D_Ch2-2'!$L$99:$R$115,6,FALSE)</f>
        <v>108.51599502281034</v>
      </c>
      <c r="Q128" s="1199"/>
      <c r="R128"/>
      <c r="S128"/>
    </row>
    <row r="129" spans="1:25" ht="15">
      <c r="D129" s="1202" t="str">
        <f>'D_Ch2-2'!L107</f>
        <v>Gironde</v>
      </c>
      <c r="E129" s="1203"/>
      <c r="F129" s="1203"/>
      <c r="G129" s="1204"/>
      <c r="H129" s="1212">
        <f>VLOOKUP($D129,'D_Ch2-2'!$L$99:$R$115,6,FALSE)</f>
        <v>219.30550263068199</v>
      </c>
      <c r="I129" s="1199"/>
      <c r="K129" s="310"/>
      <c r="L129" s="1202" t="str">
        <f>'D_Ch2-2'!L115</f>
        <v>Pas-de-Calais</v>
      </c>
      <c r="M129" s="1203"/>
      <c r="N129" s="1203"/>
      <c r="O129" s="1204"/>
      <c r="P129" s="1212">
        <f>VLOOKUP($L129,'D_Ch2-2'!$L$99:$R$115,6,FALSE)</f>
        <v>69.79306746150678</v>
      </c>
      <c r="Q129" s="1199"/>
      <c r="R129"/>
      <c r="S129"/>
    </row>
    <row r="130" spans="1:25" ht="15">
      <c r="D130" s="776"/>
      <c r="E130" s="776"/>
      <c r="F130" s="776"/>
      <c r="G130" s="776"/>
      <c r="H130" s="777"/>
      <c r="I130" s="770"/>
      <c r="K130" s="310"/>
      <c r="L130" s="776"/>
      <c r="M130" s="776"/>
      <c r="N130" s="776"/>
      <c r="O130" s="776"/>
      <c r="P130" s="777"/>
      <c r="Q130" s="770"/>
      <c r="R130"/>
      <c r="S130"/>
    </row>
    <row r="131" spans="1:25" ht="15">
      <c r="A131" s="437" t="s">
        <v>1526</v>
      </c>
      <c r="B131" s="413"/>
      <c r="C131" s="413"/>
      <c r="D131" s="413"/>
      <c r="E131" s="413"/>
      <c r="F131" s="413"/>
      <c r="G131" s="413"/>
      <c r="H131" s="413"/>
      <c r="I131" s="198"/>
      <c r="J131" s="198"/>
      <c r="K131" s="198"/>
      <c r="L131" s="198"/>
      <c r="M131" s="198"/>
      <c r="N131" s="198"/>
      <c r="O131" s="198"/>
      <c r="P131" s="198"/>
      <c r="Q131" s="198"/>
      <c r="R131" s="198"/>
      <c r="S131" s="198"/>
      <c r="T131" s="198"/>
    </row>
    <row r="132" spans="1:25">
      <c r="A132" s="198"/>
      <c r="B132" s="198"/>
      <c r="C132" s="198"/>
      <c r="D132" s="198"/>
      <c r="E132" s="198"/>
      <c r="F132" s="198"/>
      <c r="G132" s="198"/>
      <c r="H132" s="198"/>
      <c r="I132" s="198"/>
      <c r="J132" s="198"/>
      <c r="K132" s="198"/>
      <c r="L132" s="198"/>
      <c r="M132" s="198"/>
      <c r="N132" s="198"/>
      <c r="O132" s="198"/>
      <c r="P132" s="198"/>
      <c r="Q132" s="198"/>
      <c r="R132" s="198"/>
      <c r="S132" s="198"/>
      <c r="T132" s="416"/>
      <c r="U132" s="416"/>
    </row>
    <row r="133" spans="1:25" ht="15">
      <c r="K133" s="310"/>
      <c r="L133" s="310"/>
      <c r="M133" s="198"/>
      <c r="N133" s="198"/>
      <c r="O133" s="198"/>
      <c r="P133" s="198"/>
      <c r="Q133" s="198"/>
      <c r="R133" s="198"/>
      <c r="S133" s="198"/>
      <c r="T133" s="198"/>
      <c r="U133" s="327"/>
    </row>
    <row r="134" spans="1:25" ht="15">
      <c r="K134" s="310"/>
      <c r="L134" s="310"/>
      <c r="M134" s="198"/>
      <c r="N134" s="198"/>
      <c r="O134" s="198"/>
      <c r="P134" s="198"/>
      <c r="Q134" s="198"/>
      <c r="R134" s="198"/>
      <c r="S134" s="198"/>
      <c r="T134" s="198"/>
      <c r="U134" s="327"/>
    </row>
    <row r="135" spans="1:25" ht="15">
      <c r="K135" s="310"/>
      <c r="L135" s="310"/>
      <c r="M135" s="198"/>
      <c r="N135" s="198"/>
      <c r="O135" s="198"/>
      <c r="P135" s="198"/>
      <c r="Q135" s="198"/>
      <c r="R135" s="198"/>
      <c r="S135" s="198"/>
      <c r="T135" s="198"/>
      <c r="U135" s="327"/>
    </row>
    <row r="136" spans="1:25">
      <c r="A136" s="198"/>
      <c r="B136" s="198"/>
      <c r="C136" s="198"/>
      <c r="D136" s="198"/>
      <c r="E136" s="198"/>
      <c r="F136" s="198"/>
      <c r="G136" s="198"/>
      <c r="H136" s="198"/>
      <c r="I136" s="198"/>
      <c r="J136" s="198"/>
      <c r="K136" s="198"/>
      <c r="L136" s="198"/>
      <c r="M136" s="198"/>
      <c r="N136" s="198"/>
      <c r="O136" s="198"/>
      <c r="P136" s="198"/>
      <c r="Q136" s="198"/>
      <c r="R136" s="198"/>
      <c r="S136" s="198"/>
      <c r="T136" s="198"/>
      <c r="U136" s="327"/>
    </row>
    <row r="137" spans="1:25" ht="15">
      <c r="K137" s="310"/>
      <c r="L137" s="310"/>
      <c r="M137" s="198"/>
      <c r="N137" s="198"/>
      <c r="O137" s="198"/>
      <c r="P137" s="198"/>
      <c r="Q137" s="198"/>
      <c r="R137" s="198"/>
      <c r="S137" s="198"/>
      <c r="T137" s="198"/>
      <c r="U137" s="327"/>
    </row>
    <row r="138" spans="1:25">
      <c r="A138" s="198"/>
      <c r="B138" s="198"/>
      <c r="C138" s="198"/>
      <c r="D138" s="198"/>
      <c r="E138" s="198"/>
      <c r="F138" s="198"/>
      <c r="G138" s="198"/>
      <c r="H138" s="198"/>
      <c r="I138" s="198"/>
      <c r="J138" s="198"/>
      <c r="K138" s="198"/>
      <c r="L138" s="198"/>
      <c r="M138" s="198"/>
      <c r="N138" s="198"/>
      <c r="O138" s="198"/>
      <c r="P138" s="198"/>
      <c r="Q138" s="198"/>
      <c r="R138" s="198"/>
      <c r="S138" s="198"/>
      <c r="T138" s="198"/>
      <c r="U138" s="327"/>
    </row>
    <row r="139" spans="1:25">
      <c r="A139" s="198"/>
      <c r="B139" s="198"/>
      <c r="C139" s="198"/>
      <c r="D139" s="198"/>
      <c r="E139" s="198"/>
      <c r="F139" s="198"/>
      <c r="G139" s="198"/>
      <c r="H139" s="198"/>
      <c r="I139" s="198"/>
      <c r="J139" s="198"/>
      <c r="K139" s="198"/>
      <c r="L139" s="198"/>
      <c r="M139" s="198"/>
      <c r="N139" s="198"/>
      <c r="O139" s="198"/>
      <c r="P139" s="198"/>
      <c r="Q139" s="198"/>
      <c r="R139" s="198"/>
      <c r="S139" s="198"/>
      <c r="T139" s="198"/>
      <c r="U139" s="327"/>
    </row>
    <row r="140" spans="1:25">
      <c r="A140" s="198"/>
      <c r="B140" s="198"/>
      <c r="C140" s="198"/>
      <c r="D140" s="198"/>
      <c r="E140" s="198"/>
      <c r="F140" s="198"/>
      <c r="G140" s="198"/>
      <c r="H140" s="198"/>
      <c r="I140" s="198"/>
      <c r="J140" s="198"/>
      <c r="K140" s="198"/>
      <c r="L140" s="198"/>
      <c r="M140" s="198"/>
      <c r="N140" s="198"/>
      <c r="O140" s="198"/>
      <c r="P140" s="198"/>
      <c r="Q140" s="198"/>
      <c r="R140" s="198"/>
      <c r="S140" s="198"/>
      <c r="T140" s="198"/>
      <c r="U140" s="327"/>
    </row>
    <row r="141" spans="1:25">
      <c r="A141" s="198"/>
      <c r="B141" s="198"/>
      <c r="C141" s="198"/>
      <c r="D141" s="198"/>
      <c r="E141" s="198"/>
      <c r="F141" s="198"/>
      <c r="G141" s="198"/>
      <c r="H141" s="198"/>
      <c r="I141" s="198"/>
      <c r="J141" s="198"/>
      <c r="K141" s="198"/>
      <c r="L141" s="198"/>
      <c r="M141" s="198"/>
      <c r="N141" s="198"/>
      <c r="O141" s="198"/>
      <c r="P141" s="198"/>
      <c r="Q141" s="198"/>
      <c r="R141" s="198"/>
      <c r="S141" s="198"/>
      <c r="T141" s="198"/>
      <c r="U141" s="327"/>
    </row>
    <row r="142" spans="1:25">
      <c r="A142" s="198"/>
      <c r="B142" s="198"/>
      <c r="C142" s="198"/>
      <c r="D142" s="198"/>
      <c r="E142" s="198"/>
      <c r="F142" s="198"/>
      <c r="G142" s="198"/>
      <c r="H142" s="198"/>
      <c r="I142" s="198"/>
      <c r="J142" s="198"/>
      <c r="K142" s="198"/>
      <c r="L142" s="198"/>
      <c r="M142" s="198"/>
      <c r="N142" s="198"/>
      <c r="O142" s="198"/>
      <c r="P142" s="198"/>
      <c r="Q142" s="198"/>
      <c r="R142" s="198"/>
      <c r="S142" s="198"/>
      <c r="T142" s="198"/>
      <c r="U142" s="327"/>
    </row>
    <row r="143" spans="1:25">
      <c r="A143" s="198"/>
      <c r="B143" s="198"/>
      <c r="C143" s="198"/>
      <c r="D143" s="198"/>
      <c r="E143" s="198"/>
      <c r="F143" s="198"/>
      <c r="G143" s="198"/>
      <c r="H143" s="198"/>
      <c r="I143" s="198"/>
      <c r="J143" s="198"/>
      <c r="K143" s="198"/>
      <c r="L143" s="198"/>
      <c r="M143" s="198"/>
      <c r="N143" s="198"/>
      <c r="O143" s="198"/>
      <c r="P143" s="198"/>
      <c r="Q143" s="198"/>
      <c r="R143" s="198"/>
      <c r="S143" s="198"/>
      <c r="T143" s="198"/>
      <c r="U143" s="327"/>
      <c r="Y143" s="213"/>
    </row>
    <row r="144" spans="1:25">
      <c r="A144" s="198"/>
      <c r="B144" s="198"/>
      <c r="C144" s="198"/>
      <c r="D144" s="198"/>
      <c r="E144" s="198"/>
      <c r="F144" s="198"/>
      <c r="G144" s="198"/>
      <c r="H144" s="198"/>
      <c r="I144" s="198"/>
      <c r="J144" s="198"/>
      <c r="K144" s="198"/>
      <c r="L144" s="198"/>
      <c r="M144" s="198"/>
      <c r="N144" s="198"/>
      <c r="O144" s="198"/>
      <c r="P144" s="198"/>
      <c r="Q144" s="198"/>
      <c r="R144" s="198"/>
      <c r="S144" s="198"/>
      <c r="T144" s="198"/>
      <c r="U144" s="327"/>
    </row>
    <row r="145" spans="1:21">
      <c r="A145" s="198"/>
      <c r="B145" s="198"/>
      <c r="C145" s="198"/>
      <c r="D145" s="198"/>
      <c r="E145" s="198"/>
      <c r="F145" s="198"/>
      <c r="G145" s="198"/>
      <c r="H145" s="198"/>
      <c r="I145" s="198"/>
      <c r="J145" s="198"/>
      <c r="K145" s="198"/>
      <c r="L145" s="198"/>
      <c r="M145" s="198"/>
      <c r="N145" s="198"/>
      <c r="O145" s="198"/>
      <c r="P145" s="198"/>
      <c r="Q145" s="198"/>
      <c r="R145" s="198"/>
      <c r="S145" s="198"/>
      <c r="T145" s="198"/>
      <c r="U145" s="327"/>
    </row>
    <row r="146" spans="1:21">
      <c r="A146" s="198"/>
      <c r="B146" s="198"/>
      <c r="C146" s="198"/>
      <c r="D146" s="198"/>
      <c r="E146" s="198"/>
      <c r="F146" s="198"/>
      <c r="G146" s="198"/>
      <c r="H146" s="198"/>
      <c r="I146" s="198"/>
      <c r="J146" s="198"/>
      <c r="K146" s="198"/>
      <c r="L146" s="198"/>
      <c r="M146" s="198"/>
      <c r="N146" s="198"/>
      <c r="O146" s="198"/>
      <c r="P146" s="198"/>
      <c r="Q146" s="198"/>
      <c r="R146" s="198"/>
      <c r="S146" s="198"/>
      <c r="T146" s="198"/>
      <c r="U146" s="327"/>
    </row>
    <row r="147" spans="1:21" ht="15">
      <c r="A147" s="198"/>
      <c r="B147" s="198"/>
      <c r="C147" s="198"/>
      <c r="D147" s="198"/>
      <c r="E147" s="198"/>
      <c r="F147" s="198"/>
      <c r="G147" s="198"/>
      <c r="H147" s="198"/>
      <c r="I147" s="198"/>
      <c r="J147" s="198"/>
      <c r="K147" s="198"/>
      <c r="L147" s="198"/>
      <c r="M147" s="198"/>
      <c r="N147" s="198"/>
      <c r="O147" s="198"/>
      <c r="P147" s="198"/>
      <c r="Q147" s="198"/>
      <c r="R147" s="198"/>
      <c r="S147"/>
    </row>
    <row r="148" spans="1:21" ht="15">
      <c r="A148" s="198"/>
      <c r="B148" s="198"/>
      <c r="C148" s="198"/>
      <c r="D148" s="198"/>
      <c r="E148" s="198"/>
      <c r="F148" s="198"/>
      <c r="G148" s="198"/>
      <c r="H148" s="198"/>
      <c r="I148" s="198"/>
      <c r="J148" s="198"/>
      <c r="K148" s="198"/>
      <c r="L148" s="198"/>
      <c r="M148" s="198"/>
      <c r="N148" s="198"/>
      <c r="O148" s="198"/>
      <c r="P148" s="198"/>
      <c r="Q148" s="198"/>
      <c r="R148" s="198"/>
      <c r="S148"/>
    </row>
    <row r="149" spans="1:21" ht="15">
      <c r="A149" s="437"/>
      <c r="B149" s="413"/>
      <c r="C149" s="413"/>
      <c r="D149" s="413"/>
      <c r="E149" s="413"/>
      <c r="F149" s="413"/>
      <c r="G149" s="413"/>
      <c r="H149" s="413"/>
      <c r="I149" s="413"/>
      <c r="J149" s="413"/>
      <c r="K149" s="413"/>
      <c r="L149" s="413"/>
      <c r="M149" s="198"/>
      <c r="N149" s="413"/>
      <c r="O149" s="413"/>
      <c r="P149" s="413"/>
      <c r="Q149" s="413"/>
      <c r="R149" s="413"/>
      <c r="S149"/>
    </row>
    <row r="150" spans="1:21" ht="15">
      <c r="A150" s="56"/>
      <c r="B150" s="818"/>
      <c r="C150" s="818"/>
      <c r="D150" s="818"/>
      <c r="E150" s="818"/>
      <c r="F150" s="818"/>
      <c r="G150" s="818"/>
      <c r="H150" s="818"/>
      <c r="I150" s="818"/>
      <c r="J150" s="818"/>
      <c r="K150" s="818"/>
      <c r="L150" s="818"/>
      <c r="M150" s="818"/>
      <c r="N150" s="818"/>
      <c r="O150" s="818"/>
      <c r="P150" s="818"/>
      <c r="Q150" s="818"/>
      <c r="R150" s="413"/>
      <c r="S150" s="198"/>
      <c r="T150" s="198"/>
    </row>
    <row r="151" spans="1:21" ht="15">
      <c r="A151" s="437" t="s">
        <v>1939</v>
      </c>
      <c r="B151" s="852"/>
      <c r="C151" s="852"/>
      <c r="D151" s="852"/>
      <c r="E151" s="852"/>
      <c r="F151" s="852"/>
      <c r="G151" s="852"/>
      <c r="H151" s="852"/>
      <c r="I151" s="852"/>
      <c r="J151" s="852"/>
      <c r="K151" s="852"/>
      <c r="L151" s="852"/>
      <c r="M151" s="856"/>
      <c r="N151" s="852"/>
      <c r="O151" s="852"/>
      <c r="P151" s="852"/>
      <c r="Q151" s="852"/>
      <c r="R151" s="413"/>
    </row>
    <row r="152" spans="1:21" ht="15">
      <c r="K152" s="310"/>
      <c r="M152" s="198"/>
      <c r="N152" s="775" t="s">
        <v>1105</v>
      </c>
      <c r="O152" s="440" t="s">
        <v>1750</v>
      </c>
      <c r="R152" s="310"/>
    </row>
    <row r="153" spans="1:21" ht="15">
      <c r="K153" s="310"/>
      <c r="M153" s="198"/>
      <c r="N153" s="757" t="s">
        <v>1104</v>
      </c>
      <c r="O153" s="440" t="s">
        <v>1245</v>
      </c>
      <c r="R153" s="310"/>
    </row>
    <row r="154" spans="1:21" ht="15">
      <c r="K154" s="310"/>
      <c r="M154" s="198"/>
      <c r="N154" s="758" t="s">
        <v>1106</v>
      </c>
      <c r="O154" s="440" t="s">
        <v>638</v>
      </c>
      <c r="R154" s="310"/>
    </row>
    <row r="155" spans="1:21" ht="15">
      <c r="K155" s="310"/>
      <c r="M155" s="198"/>
      <c r="N155" s="759" t="s">
        <v>1107</v>
      </c>
      <c r="O155" s="440" t="s">
        <v>639</v>
      </c>
      <c r="Q155" s="310"/>
      <c r="R155" s="310"/>
    </row>
    <row r="156" spans="1:21" ht="15">
      <c r="K156" s="310"/>
      <c r="M156" s="198"/>
      <c r="N156" s="760" t="s">
        <v>1108</v>
      </c>
      <c r="O156" s="440" t="s">
        <v>644</v>
      </c>
      <c r="Q156" s="310"/>
      <c r="R156" s="310"/>
    </row>
    <row r="157" spans="1:21" ht="15">
      <c r="K157" s="310"/>
      <c r="M157" s="198"/>
      <c r="N157" s="761" t="s">
        <v>1109</v>
      </c>
      <c r="O157" s="440" t="s">
        <v>640</v>
      </c>
      <c r="Q157" s="310"/>
      <c r="R157" s="310"/>
    </row>
    <row r="158" spans="1:21" ht="15">
      <c r="K158" s="310"/>
      <c r="M158" s="198"/>
      <c r="N158" s="762" t="s">
        <v>1110</v>
      </c>
      <c r="O158" s="440" t="s">
        <v>1759</v>
      </c>
      <c r="Q158" s="310"/>
      <c r="R158" s="310"/>
    </row>
    <row r="159" spans="1:21" ht="15">
      <c r="K159" s="310"/>
      <c r="M159" s="198"/>
      <c r="N159" s="763" t="s">
        <v>1111</v>
      </c>
      <c r="O159" s="440" t="s">
        <v>456</v>
      </c>
      <c r="Q159" s="310"/>
      <c r="R159" s="310"/>
    </row>
    <row r="160" spans="1:21" ht="15">
      <c r="K160" s="310"/>
      <c r="M160" s="198"/>
      <c r="N160" s="764" t="s">
        <v>1117</v>
      </c>
      <c r="O160" s="440" t="s">
        <v>641</v>
      </c>
      <c r="Q160" s="310"/>
      <c r="R160" s="310"/>
    </row>
    <row r="161" spans="1:24" ht="15">
      <c r="K161" s="310"/>
      <c r="M161" s="198"/>
      <c r="N161" s="765" t="s">
        <v>1112</v>
      </c>
      <c r="O161" s="440" t="s">
        <v>1246</v>
      </c>
      <c r="Q161" s="310"/>
      <c r="R161" s="310"/>
    </row>
    <row r="162" spans="1:24" ht="15">
      <c r="K162" s="310"/>
      <c r="M162" s="198"/>
      <c r="N162" s="766" t="s">
        <v>1113</v>
      </c>
      <c r="O162" s="440" t="s">
        <v>645</v>
      </c>
      <c r="Q162" s="310"/>
      <c r="R162" s="310"/>
    </row>
    <row r="163" spans="1:24" ht="15">
      <c r="K163" s="310"/>
      <c r="M163" s="198"/>
      <c r="N163" s="767" t="s">
        <v>1114</v>
      </c>
      <c r="O163" s="440" t="s">
        <v>642</v>
      </c>
      <c r="Q163" s="310"/>
      <c r="R163" s="310"/>
    </row>
    <row r="164" spans="1:24" ht="15">
      <c r="K164" s="310"/>
      <c r="M164" s="198"/>
      <c r="N164" s="768" t="s">
        <v>1115</v>
      </c>
      <c r="O164" s="440" t="s">
        <v>1247</v>
      </c>
      <c r="Q164" s="310"/>
    </row>
    <row r="165" spans="1:24" ht="15">
      <c r="K165" s="310"/>
      <c r="M165" s="198"/>
      <c r="N165" s="769" t="s">
        <v>1116</v>
      </c>
      <c r="O165" s="440" t="s">
        <v>643</v>
      </c>
      <c r="Q165" s="310"/>
    </row>
    <row r="166" spans="1:24" ht="15">
      <c r="K166" s="310"/>
      <c r="M166" s="198"/>
      <c r="N166" s="198"/>
      <c r="O166" s="198"/>
      <c r="P166" s="198"/>
      <c r="Q166" s="198"/>
      <c r="R166" s="198"/>
      <c r="S166" s="198"/>
      <c r="T166" s="198"/>
    </row>
    <row r="167" spans="1:24" ht="15" customHeight="1">
      <c r="A167" s="324"/>
      <c r="B167" s="427"/>
      <c r="C167" s="428"/>
      <c r="D167" s="428"/>
      <c r="E167" s="428"/>
      <c r="F167" s="1105" t="s">
        <v>1039</v>
      </c>
      <c r="G167" s="1105"/>
      <c r="H167" s="1105"/>
      <c r="I167" s="1105"/>
      <c r="J167" s="1105"/>
      <c r="K167" s="1105"/>
      <c r="L167" s="1105"/>
      <c r="M167" s="1105"/>
      <c r="N167" s="1105"/>
      <c r="O167" s="1105"/>
      <c r="P167" s="1105"/>
      <c r="Q167" s="1105"/>
      <c r="R167" s="1105"/>
      <c r="S167" s="1105"/>
      <c r="T167" s="1105"/>
      <c r="U167" s="786"/>
    </row>
    <row r="168" spans="1:24" ht="12.75" customHeight="1">
      <c r="A168" s="429"/>
      <c r="B168" s="428"/>
      <c r="C168" s="428"/>
      <c r="D168" s="428"/>
      <c r="E168" s="428"/>
      <c r="F168" s="1105"/>
      <c r="G168" s="1105"/>
      <c r="H168" s="1105"/>
      <c r="I168" s="1105"/>
      <c r="J168" s="1105"/>
      <c r="K168" s="1105"/>
      <c r="L168" s="1105"/>
      <c r="M168" s="1105"/>
      <c r="N168" s="1105"/>
      <c r="O168" s="1105"/>
      <c r="P168" s="1105"/>
      <c r="Q168" s="1105"/>
      <c r="R168" s="1105"/>
      <c r="S168" s="1105"/>
      <c r="T168" s="1105"/>
      <c r="U168" s="786"/>
    </row>
    <row r="169" spans="1:24" ht="15" customHeight="1">
      <c r="A169" s="430"/>
      <c r="B169" s="428"/>
      <c r="C169" s="428"/>
      <c r="D169" s="428"/>
      <c r="E169" s="428"/>
      <c r="F169" s="1105"/>
      <c r="G169" s="1105"/>
      <c r="H169" s="1105"/>
      <c r="I169" s="1105"/>
      <c r="J169" s="1105"/>
      <c r="K169" s="1105"/>
      <c r="L169" s="1105"/>
      <c r="M169" s="1105"/>
      <c r="N169" s="1105"/>
      <c r="O169" s="1105"/>
      <c r="P169" s="1105"/>
      <c r="Q169" s="1105"/>
      <c r="R169" s="1105"/>
      <c r="S169" s="1105"/>
      <c r="T169" s="1105"/>
      <c r="U169" s="786"/>
    </row>
    <row r="170" spans="1:24" customFormat="1" ht="12.75" customHeight="1">
      <c r="F170" s="1105"/>
      <c r="G170" s="1105"/>
      <c r="H170" s="1105"/>
      <c r="I170" s="1105"/>
      <c r="J170" s="1105"/>
      <c r="K170" s="1105"/>
      <c r="L170" s="1105"/>
      <c r="M170" s="1105"/>
      <c r="N170" s="1105"/>
      <c r="O170" s="1105"/>
      <c r="P170" s="1105"/>
      <c r="Q170" s="1105"/>
      <c r="R170" s="1105"/>
      <c r="S170" s="1105"/>
      <c r="T170" s="1105"/>
      <c r="U170" s="163"/>
    </row>
    <row r="171" spans="1:24" customFormat="1" ht="4.5" customHeight="1">
      <c r="U171" s="163"/>
    </row>
    <row r="172" spans="1:24" ht="15" customHeight="1">
      <c r="A172" s="1102" t="s">
        <v>1261</v>
      </c>
      <c r="B172" s="1102"/>
      <c r="C172" s="1102"/>
      <c r="D172" s="1102"/>
      <c r="E172" s="1102"/>
      <c r="F172" s="1102"/>
      <c r="G172" s="1102"/>
      <c r="H172" s="1102"/>
      <c r="I172" s="1102"/>
      <c r="J172" s="1102"/>
      <c r="K172" s="1102"/>
      <c r="L172" s="1102"/>
      <c r="M172" s="1102"/>
      <c r="N172" s="1102"/>
      <c r="O172" s="1102"/>
      <c r="P172" s="1102"/>
      <c r="Q172" s="1102"/>
      <c r="R172" s="1102"/>
      <c r="S172" s="1102"/>
      <c r="T172" s="1102"/>
      <c r="U172" s="784"/>
    </row>
    <row r="173" spans="1:24" ht="15" customHeight="1">
      <c r="A173" s="1102"/>
      <c r="B173" s="1102"/>
      <c r="C173" s="1102"/>
      <c r="D173" s="1102"/>
      <c r="E173" s="1102"/>
      <c r="F173" s="1102"/>
      <c r="G173" s="1102"/>
      <c r="H173" s="1102"/>
      <c r="I173" s="1102"/>
      <c r="J173" s="1102"/>
      <c r="K173" s="1102"/>
      <c r="L173" s="1102"/>
      <c r="M173" s="1102"/>
      <c r="N173" s="1102"/>
      <c r="O173" s="1102"/>
      <c r="P173" s="1102"/>
      <c r="Q173" s="1102"/>
      <c r="R173" s="1102"/>
      <c r="S173" s="1102"/>
      <c r="T173" s="1102"/>
      <c r="U173" s="784"/>
    </row>
    <row r="174" spans="1:24" customFormat="1" ht="6.75" customHeight="1">
      <c r="A174" s="310"/>
      <c r="B174" s="310"/>
      <c r="C174" s="310"/>
      <c r="D174" s="310"/>
      <c r="E174" s="310"/>
      <c r="F174" s="310"/>
      <c r="G174" s="310"/>
      <c r="H174" s="310"/>
      <c r="I174" s="310"/>
      <c r="J174" s="310"/>
      <c r="K174" s="310"/>
      <c r="L174" s="310"/>
      <c r="M174" s="310"/>
      <c r="N174" s="310"/>
      <c r="O174" s="310"/>
      <c r="P174" s="310"/>
      <c r="Q174" s="310"/>
      <c r="R174" s="310"/>
      <c r="S174" s="310"/>
      <c r="T174" s="310"/>
    </row>
    <row r="175" spans="1:24" ht="16.5" customHeight="1" thickBot="1">
      <c r="A175" s="852" t="s">
        <v>672</v>
      </c>
      <c r="B175" s="852"/>
      <c r="C175" s="852"/>
      <c r="D175" s="852"/>
      <c r="E175" s="852"/>
      <c r="F175" s="852"/>
      <c r="L175" s="310"/>
      <c r="O175" s="310"/>
      <c r="R175" s="163"/>
    </row>
    <row r="176" spans="1:24" ht="16.5" thickTop="1" thickBot="1">
      <c r="A176"/>
      <c r="B176"/>
      <c r="C176" s="556"/>
      <c r="D176"/>
      <c r="E176"/>
      <c r="F176" s="556"/>
      <c r="I176" s="554"/>
      <c r="J176" s="1221" t="s">
        <v>1141</v>
      </c>
      <c r="K176" s="1221"/>
      <c r="L176" s="1221"/>
      <c r="N176" s="1223" t="s">
        <v>17</v>
      </c>
      <c r="O176" s="1224"/>
      <c r="P176" s="1225"/>
      <c r="R176" s="1223" t="s">
        <v>1093</v>
      </c>
      <c r="S176" s="1224"/>
      <c r="T176" s="1225"/>
      <c r="U176"/>
      <c r="V176"/>
      <c r="W176"/>
      <c r="X176"/>
    </row>
    <row r="177" spans="1:32" ht="14.25" customHeight="1" thickTop="1" thickBot="1">
      <c r="A177" s="426"/>
      <c r="B177" s="441"/>
      <c r="C177" s="441"/>
      <c r="D177" s="1220" t="s">
        <v>2056</v>
      </c>
      <c r="E177" s="1220"/>
      <c r="F177" s="1220"/>
      <c r="G177" s="1220"/>
      <c r="H177" s="441"/>
      <c r="I177" s="441"/>
      <c r="J177" s="441"/>
      <c r="K177" s="441"/>
      <c r="L177" s="1223" t="s">
        <v>10</v>
      </c>
      <c r="M177" s="1224"/>
      <c r="N177" s="1225"/>
      <c r="O177" s="441"/>
      <c r="P177" s="441"/>
      <c r="Q177" s="1223" t="s">
        <v>6</v>
      </c>
      <c r="R177" s="1224"/>
      <c r="S177" s="1225"/>
      <c r="T177" s="441"/>
      <c r="U177"/>
      <c r="V177"/>
      <c r="W177"/>
      <c r="X177"/>
      <c r="Y177" s="218"/>
      <c r="Z177" s="218"/>
      <c r="AA177" s="218"/>
      <c r="AB177" s="218"/>
      <c r="AC177" s="218"/>
      <c r="AD177" s="218"/>
      <c r="AE177" s="218"/>
      <c r="AF177" s="215"/>
    </row>
    <row r="178" spans="1:32" ht="16.5" customHeight="1" thickTop="1">
      <c r="A178" s="406"/>
      <c r="B178" s="406"/>
      <c r="C178" s="406"/>
      <c r="D178" s="1220"/>
      <c r="E178" s="1220"/>
      <c r="F178" s="1220"/>
      <c r="G178" s="1220"/>
      <c r="H178" s="406"/>
      <c r="I178" s="406"/>
      <c r="J178" s="426"/>
      <c r="K178" s="426"/>
      <c r="O178" s="426"/>
      <c r="P178" s="426"/>
      <c r="T178" s="426"/>
      <c r="U178" s="215"/>
      <c r="X178" s="215"/>
      <c r="Y178" s="215"/>
      <c r="Z178" s="215"/>
      <c r="AA178" s="215"/>
      <c r="AB178" s="215"/>
      <c r="AC178" s="215"/>
      <c r="AD178" s="215"/>
      <c r="AE178" s="215"/>
      <c r="AF178" s="215"/>
    </row>
    <row r="179" spans="1:32">
      <c r="A179" s="1226" t="s">
        <v>89</v>
      </c>
      <c r="B179" s="1226"/>
      <c r="C179" s="1226"/>
      <c r="D179" s="771"/>
      <c r="E179" s="1222">
        <f>VLOOKUP(A179,'D_Ch2-2'!$B$6:$AZ$22,MATCH("17-T4",'D_Ch2-2'!$6:$6,)-1,FALSE)/100</f>
        <v>0.11</v>
      </c>
      <c r="F179" s="1222"/>
      <c r="G179" s="406"/>
      <c r="H179" s="406"/>
      <c r="I179" s="406"/>
      <c r="J179" s="426"/>
      <c r="K179" s="426"/>
      <c r="L179" s="426"/>
      <c r="M179" s="426"/>
      <c r="N179" s="426"/>
      <c r="O179" s="426"/>
      <c r="P179" s="426"/>
      <c r="Q179" s="426"/>
      <c r="R179" s="426"/>
      <c r="S179" s="426"/>
      <c r="T179" s="426"/>
      <c r="U179" s="215"/>
      <c r="V179" s="215"/>
      <c r="W179" s="215"/>
      <c r="X179" s="215"/>
      <c r="Y179" s="215"/>
      <c r="Z179" s="215"/>
      <c r="AA179" s="215"/>
      <c r="AB179" s="215"/>
      <c r="AC179" s="215"/>
      <c r="AD179" s="215"/>
      <c r="AE179" s="215"/>
      <c r="AF179" s="215"/>
    </row>
    <row r="180" spans="1:32">
      <c r="A180" s="1226" t="s">
        <v>6</v>
      </c>
      <c r="B180" s="1226"/>
      <c r="C180" s="1226"/>
      <c r="D180" s="771"/>
      <c r="E180" s="1222">
        <f>VLOOKUP(A180,'D_Ch2-2'!$B$6:$AZ$22,MATCH("17-T4",'D_Ch2-2'!$6:$6,)-1,FALSE)/100</f>
        <v>8.8000000000000009E-2</v>
      </c>
      <c r="F180" s="1222"/>
      <c r="G180" s="406"/>
      <c r="H180" s="406"/>
      <c r="I180" s="406"/>
      <c r="J180" s="426"/>
      <c r="K180" s="426"/>
      <c r="L180" s="426"/>
      <c r="M180" s="426"/>
      <c r="N180" s="426"/>
      <c r="O180" s="426"/>
      <c r="P180" s="426"/>
      <c r="Q180" s="426"/>
      <c r="R180" s="426"/>
      <c r="S180" s="426"/>
      <c r="T180" s="426"/>
      <c r="U180" s="215"/>
      <c r="V180" s="215"/>
      <c r="W180" s="215"/>
      <c r="X180" s="215"/>
      <c r="Y180" s="215"/>
      <c r="Z180" s="215"/>
      <c r="AA180" s="215"/>
      <c r="AB180" s="215"/>
      <c r="AC180" s="215"/>
      <c r="AD180" s="215"/>
      <c r="AE180" s="215"/>
      <c r="AF180" s="215"/>
    </row>
    <row r="181" spans="1:32">
      <c r="A181" s="1226" t="s">
        <v>8</v>
      </c>
      <c r="B181" s="1226"/>
      <c r="C181" s="1226"/>
      <c r="D181" s="771"/>
      <c r="E181" s="1222">
        <f>VLOOKUP(A181,'D_Ch2-2'!$B$6:$AZ$22,MATCH("17-T4",'D_Ch2-2'!$6:$6,)-1,FALSE)/100</f>
        <v>7.2000000000000008E-2</v>
      </c>
      <c r="F181" s="1222"/>
      <c r="G181" s="406"/>
      <c r="H181" s="406"/>
      <c r="I181" s="406"/>
      <c r="J181" s="426"/>
      <c r="K181" s="426"/>
      <c r="L181" s="426"/>
      <c r="M181" s="426"/>
      <c r="N181" s="426"/>
      <c r="O181" s="426"/>
      <c r="P181" s="426"/>
      <c r="Q181" s="426"/>
      <c r="R181" s="426"/>
      <c r="S181" s="426"/>
      <c r="T181" s="426"/>
      <c r="U181" s="215"/>
      <c r="V181" s="215"/>
      <c r="W181" s="215"/>
      <c r="X181" s="215"/>
      <c r="Y181" s="215"/>
      <c r="Z181" s="215"/>
      <c r="AA181" s="215"/>
      <c r="AB181" s="215"/>
      <c r="AC181" s="215"/>
      <c r="AD181" s="215"/>
      <c r="AE181" s="215"/>
      <c r="AF181" s="215"/>
    </row>
    <row r="182" spans="1:32">
      <c r="A182" s="1226" t="s">
        <v>1726</v>
      </c>
      <c r="B182" s="1226"/>
      <c r="C182" s="1226"/>
      <c r="D182" s="771"/>
      <c r="E182" s="1222">
        <f>VLOOKUP(A182,'D_Ch2-2'!$B$6:$AZ$22,MATCH("17-T4",'D_Ch2-2'!$6:$6,)-1,FALSE)/100</f>
        <v>0.13500000000000001</v>
      </c>
      <c r="F182" s="1222"/>
      <c r="G182" s="406"/>
      <c r="H182" s="406"/>
      <c r="I182" s="406"/>
      <c r="J182" s="426"/>
      <c r="K182" s="426"/>
      <c r="L182" s="426"/>
      <c r="M182" s="426"/>
      <c r="N182" s="426"/>
      <c r="O182" s="426"/>
      <c r="P182" s="426"/>
      <c r="Q182" s="426"/>
      <c r="R182" s="426"/>
      <c r="S182" s="426"/>
      <c r="T182" s="426"/>
      <c r="U182" s="215"/>
      <c r="V182" s="215"/>
      <c r="W182" s="215"/>
      <c r="X182" s="215"/>
      <c r="Y182" s="215"/>
      <c r="Z182" s="215"/>
      <c r="AA182" s="215"/>
      <c r="AB182" s="215"/>
      <c r="AC182" s="215"/>
      <c r="AD182" s="215"/>
      <c r="AE182" s="215"/>
      <c r="AF182" s="215"/>
    </row>
    <row r="183" spans="1:32">
      <c r="A183" s="1226" t="s">
        <v>10</v>
      </c>
      <c r="B183" s="1226"/>
      <c r="C183" s="1226"/>
      <c r="D183" s="405"/>
      <c r="E183" s="1222">
        <f>VLOOKUP(A183,'D_Ch2-2'!$B$6:$AZ$22,MATCH("17-T4",'D_Ch2-2'!$6:$6,)-1,FALSE)/100</f>
        <v>9.5000000000000001E-2</v>
      </c>
      <c r="F183" s="1222"/>
      <c r="G183" s="406"/>
      <c r="H183" s="406"/>
      <c r="I183" s="406"/>
      <c r="J183" s="426"/>
      <c r="K183" s="426"/>
      <c r="L183" s="426"/>
      <c r="M183" s="426"/>
      <c r="N183" s="426"/>
      <c r="O183" s="426"/>
      <c r="P183" s="426"/>
      <c r="Q183" s="426"/>
      <c r="R183" s="426"/>
      <c r="S183" s="426"/>
      <c r="T183" s="426"/>
      <c r="U183" s="215"/>
      <c r="V183" s="215"/>
      <c r="W183" s="215"/>
      <c r="X183" s="215"/>
      <c r="Y183" s="215"/>
      <c r="Z183" s="215"/>
      <c r="AA183" s="215"/>
      <c r="AB183" s="215"/>
      <c r="AC183" s="215"/>
      <c r="AD183" s="215"/>
      <c r="AE183" s="215"/>
      <c r="AF183" s="215"/>
    </row>
    <row r="184" spans="1:32">
      <c r="A184" s="1226" t="s">
        <v>12</v>
      </c>
      <c r="B184" s="1226"/>
      <c r="C184" s="1226"/>
      <c r="D184" s="405"/>
      <c r="E184" s="1222">
        <f>VLOOKUP(A184,'D_Ch2-2'!$B$6:$AZ$22,MATCH("17-T4",'D_Ch2-2'!$6:$6,)-1,FALSE)/100</f>
        <v>7.9000000000000001E-2</v>
      </c>
      <c r="F184" s="1222"/>
      <c r="G184" s="406"/>
      <c r="H184" s="406"/>
      <c r="I184" s="406"/>
      <c r="J184" s="426"/>
      <c r="K184" s="426"/>
      <c r="L184" s="426"/>
      <c r="M184" s="426"/>
      <c r="N184" s="426"/>
      <c r="O184" s="426"/>
      <c r="P184" s="426"/>
      <c r="Q184" s="426"/>
      <c r="R184" s="426"/>
      <c r="S184" s="426"/>
      <c r="T184" s="426"/>
      <c r="U184" s="215"/>
      <c r="V184" s="215"/>
      <c r="W184" s="215"/>
      <c r="X184" s="215"/>
      <c r="Y184" s="215"/>
      <c r="Z184" s="215"/>
      <c r="AA184" s="215"/>
      <c r="AB184" s="215"/>
      <c r="AC184" s="215"/>
      <c r="AD184" s="215"/>
      <c r="AE184" s="215"/>
      <c r="AF184" s="215"/>
    </row>
    <row r="185" spans="1:32">
      <c r="A185" s="1226" t="s">
        <v>1093</v>
      </c>
      <c r="B185" s="1226"/>
      <c r="C185" s="1226"/>
      <c r="D185" s="405"/>
      <c r="E185" s="1222">
        <f>VLOOKUP(A185,'D_Ch2-2'!$B$6:$AZ$22,MATCH("17-T4",'D_Ch2-2'!$6:$6,)-1,FALSE)/100</f>
        <v>0.114</v>
      </c>
      <c r="F185" s="1222"/>
      <c r="G185" s="406"/>
      <c r="H185" s="406"/>
      <c r="I185" s="406"/>
      <c r="J185" s="426"/>
      <c r="K185" s="426"/>
      <c r="L185" s="426"/>
      <c r="M185" s="426"/>
      <c r="N185" s="426"/>
      <c r="O185" s="426"/>
      <c r="P185" s="426"/>
      <c r="Q185" s="426"/>
      <c r="R185" s="426"/>
      <c r="S185" s="426"/>
      <c r="T185" s="426"/>
      <c r="U185" s="215"/>
      <c r="V185" s="215"/>
      <c r="W185" s="215"/>
      <c r="X185" s="215"/>
      <c r="Y185" s="215"/>
      <c r="Z185" s="215"/>
      <c r="AA185" s="215"/>
      <c r="AB185" s="215"/>
      <c r="AC185" s="215"/>
      <c r="AD185" s="215"/>
      <c r="AE185" s="215"/>
      <c r="AF185" s="215"/>
    </row>
    <row r="186" spans="1:32">
      <c r="A186" s="1226" t="s">
        <v>15</v>
      </c>
      <c r="B186" s="1226"/>
      <c r="C186" s="1226"/>
      <c r="D186" s="405"/>
      <c r="E186" s="1222">
        <f>VLOOKUP(A186,'D_Ch2-2'!$B$6:$AZ$22,MATCH("17-T4",'D_Ch2-2'!$6:$6,)-1,FALSE)/100</f>
        <v>0.11699999999999999</v>
      </c>
      <c r="F186" s="1222"/>
      <c r="G186" s="406"/>
      <c r="H186" s="406"/>
      <c r="I186" s="406"/>
    </row>
    <row r="187" spans="1:32">
      <c r="A187" s="1226" t="s">
        <v>17</v>
      </c>
      <c r="B187" s="1226"/>
      <c r="C187" s="1226"/>
      <c r="D187" s="405"/>
      <c r="E187" s="1222">
        <f>VLOOKUP(A187,'D_Ch2-2'!$B$6:$AZ$22,MATCH("17-T4",'D_Ch2-2'!$6:$6,)-1,FALSE)/100</f>
        <v>6.8000000000000005E-2</v>
      </c>
      <c r="F187" s="1222"/>
      <c r="G187" s="406"/>
      <c r="H187" s="406"/>
      <c r="I187" s="406"/>
    </row>
    <row r="188" spans="1:32" ht="15">
      <c r="A188" s="1226" t="s">
        <v>19</v>
      </c>
      <c r="B188" s="1226"/>
      <c r="C188" s="1226"/>
      <c r="D188" s="405"/>
      <c r="E188" s="1222">
        <f>VLOOKUP(A188,'D_Ch2-2'!$B$6:$AZ$22,MATCH("17-T4",'D_Ch2-2'!$6:$6,)-1,FALSE)/100</f>
        <v>9.6000000000000002E-2</v>
      </c>
      <c r="F188" s="1222"/>
      <c r="G188" s="406"/>
      <c r="H188" s="406"/>
      <c r="I188" s="406"/>
      <c r="K188" s="310"/>
      <c r="L188" s="310"/>
      <c r="M188" s="310"/>
      <c r="N188" s="310"/>
      <c r="O188" s="310"/>
      <c r="P188" s="310"/>
    </row>
    <row r="189" spans="1:32" ht="15">
      <c r="A189" s="1226" t="s">
        <v>21</v>
      </c>
      <c r="B189" s="1226"/>
      <c r="C189" s="1226"/>
      <c r="D189" s="405"/>
      <c r="E189" s="1222">
        <f>VLOOKUP(A189,'D_Ch2-2'!$B$6:$AZ$22,MATCH("17-T4",'D_Ch2-2'!$6:$6,)-1,FALSE)/100</f>
        <v>6.5000000000000002E-2</v>
      </c>
      <c r="F189" s="1222"/>
      <c r="G189" s="406"/>
      <c r="H189" s="406"/>
      <c r="I189" s="406"/>
      <c r="K189" s="310"/>
      <c r="L189" s="310"/>
      <c r="M189" s="310"/>
      <c r="N189" s="310"/>
      <c r="O189" s="310"/>
      <c r="P189" s="310"/>
    </row>
    <row r="190" spans="1:32" ht="15">
      <c r="A190" s="1226" t="s">
        <v>23</v>
      </c>
      <c r="B190" s="1226"/>
      <c r="C190" s="1226"/>
      <c r="D190" s="405"/>
      <c r="E190" s="1222">
        <f>VLOOKUP(A190,'D_Ch2-2'!$B$6:$AZ$22,MATCH("17-T4",'D_Ch2-2'!$6:$6,)-1,FALSE)/100</f>
        <v>9.3000000000000013E-2</v>
      </c>
      <c r="F190" s="1222"/>
      <c r="G190" s="406"/>
      <c r="H190" s="406"/>
      <c r="I190" s="406"/>
      <c r="K190" s="310"/>
      <c r="L190" s="310"/>
      <c r="M190" s="310"/>
      <c r="N190" s="310"/>
      <c r="O190" s="310"/>
      <c r="P190" s="310"/>
    </row>
    <row r="191" spans="1:32" ht="15">
      <c r="A191" s="1226" t="s">
        <v>25</v>
      </c>
      <c r="B191" s="1226"/>
      <c r="C191" s="1226"/>
      <c r="D191" s="405"/>
      <c r="E191" s="1222">
        <f>VLOOKUP(A191,'D_Ch2-2'!$B$6:$AZ$22,MATCH("17-T4",'D_Ch2-2'!$6:$6,)-1,FALSE)/100</f>
        <v>9.0999999999999998E-2</v>
      </c>
      <c r="F191" s="1222"/>
      <c r="G191" s="406"/>
      <c r="H191" s="406"/>
      <c r="I191" s="406"/>
      <c r="K191" s="310"/>
      <c r="L191" s="310"/>
      <c r="M191" s="310"/>
      <c r="N191" s="310"/>
      <c r="O191" s="310"/>
      <c r="P191" s="310"/>
    </row>
    <row r="192" spans="1:32" ht="15">
      <c r="A192" s="1226" t="s">
        <v>55</v>
      </c>
      <c r="B192" s="1226"/>
      <c r="C192" s="1226"/>
      <c r="D192" s="405"/>
      <c r="E192" s="1222">
        <f>VLOOKUP(A192,'D_Ch2-2'!$B$6:$AZ$22,MATCH("17-T4",'D_Ch2-2'!$6:$6,)-1,FALSE)/100</f>
        <v>9.5000000000000001E-2</v>
      </c>
      <c r="F192" s="1222"/>
      <c r="G192" s="406"/>
      <c r="H192" s="406"/>
      <c r="I192" s="406"/>
      <c r="K192" s="310"/>
      <c r="L192" s="310"/>
      <c r="M192" s="310"/>
      <c r="N192" s="310"/>
      <c r="O192" s="310"/>
      <c r="P192" s="310"/>
    </row>
    <row r="193" spans="1:19" ht="15">
      <c r="A193" s="1227" t="s">
        <v>27</v>
      </c>
      <c r="B193" s="1227"/>
      <c r="C193" s="1227"/>
      <c r="D193" s="405"/>
      <c r="E193" s="1222">
        <f>VLOOKUP(A193,'D_Ch2-2'!$B$6:$AZ$22,MATCH("17-T4",'D_Ch2-2'!$6:$6,)-1,FALSE)/100</f>
        <v>8.4000000000000005E-2</v>
      </c>
      <c r="F193" s="1222"/>
      <c r="G193" s="406"/>
      <c r="H193" s="406"/>
      <c r="I193" s="406"/>
      <c r="K193" s="310"/>
      <c r="L193" s="310"/>
      <c r="M193" s="310"/>
      <c r="N193" s="310"/>
      <c r="O193" s="310"/>
      <c r="P193" s="310"/>
    </row>
    <row r="194" spans="1:19" ht="15">
      <c r="A194" s="460" t="s">
        <v>1141</v>
      </c>
      <c r="B194" s="403"/>
      <c r="C194" s="403"/>
      <c r="D194" s="403"/>
      <c r="E194" s="1222">
        <f>VLOOKUP(A194,'D_Ch2-2'!$B$6:$AZ$22,MATCH("17-T4",'D_Ch2-2'!$6:$6,)-1,FALSE)/100</f>
        <v>8.5999999999999993E-2</v>
      </c>
      <c r="F194" s="1222"/>
      <c r="K194" s="310"/>
      <c r="L194" s="310"/>
      <c r="M194" s="310"/>
      <c r="N194" s="310"/>
      <c r="O194" s="310"/>
      <c r="P194" s="310"/>
    </row>
    <row r="195" spans="1:19" ht="15">
      <c r="M195" s="438"/>
      <c r="N195" s="438"/>
      <c r="O195" s="310"/>
      <c r="P195" s="310"/>
      <c r="Q195" s="416"/>
    </row>
    <row r="196" spans="1:19" ht="15">
      <c r="A196" s="852" t="s">
        <v>1527</v>
      </c>
      <c r="B196" s="852"/>
      <c r="C196" s="852"/>
      <c r="D196" s="852"/>
      <c r="E196" s="852"/>
      <c r="F196" s="852"/>
      <c r="G196" s="852"/>
      <c r="H196" s="852"/>
      <c r="I196" s="852"/>
      <c r="J196" s="852"/>
      <c r="K196" s="852"/>
      <c r="L196" s="852"/>
      <c r="M196" s="310"/>
      <c r="N196" s="310"/>
      <c r="O196" s="310"/>
      <c r="P196" s="310"/>
    </row>
    <row r="197" spans="1:19" ht="15">
      <c r="K197" s="310"/>
      <c r="L197" s="310"/>
      <c r="M197" s="310"/>
      <c r="N197" s="310"/>
      <c r="O197" s="310"/>
      <c r="P197" s="412" t="s">
        <v>70</v>
      </c>
    </row>
    <row r="198" spans="1:19" ht="15">
      <c r="K198" s="310"/>
      <c r="L198" s="310"/>
      <c r="M198" s="310"/>
      <c r="N198" s="310"/>
      <c r="O198" s="442"/>
      <c r="P198" s="443"/>
      <c r="Q198" s="443" t="s">
        <v>675</v>
      </c>
      <c r="R198" s="443"/>
      <c r="S198" s="444"/>
    </row>
    <row r="199" spans="1:19" ht="15">
      <c r="K199" s="310"/>
      <c r="L199" s="310"/>
      <c r="M199" s="310"/>
      <c r="N199" s="310"/>
      <c r="O199" s="445"/>
      <c r="P199" s="446" t="s">
        <v>1803</v>
      </c>
      <c r="Q199" s="446"/>
      <c r="R199" s="446"/>
      <c r="S199" s="447"/>
    </row>
    <row r="200" spans="1:19" ht="15">
      <c r="K200" s="310"/>
      <c r="L200" s="310"/>
      <c r="M200" s="310"/>
      <c r="N200" s="310"/>
      <c r="O200" s="448"/>
      <c r="P200" s="449" t="s">
        <v>676</v>
      </c>
      <c r="Q200" s="1044">
        <f>'D_Ch2-2'!B57</f>
        <v>-7.0788789367234907E-3</v>
      </c>
      <c r="R200" s="1219"/>
      <c r="S200" s="1045"/>
    </row>
    <row r="201" spans="1:19" ht="15">
      <c r="K201" s="310"/>
      <c r="L201" s="310"/>
      <c r="M201" s="310"/>
      <c r="N201" s="310"/>
      <c r="O201" s="450"/>
      <c r="P201" s="451" t="s">
        <v>119</v>
      </c>
      <c r="Q201" s="1044">
        <f>'D_Ch2-2'!C57</f>
        <v>1.8551708958274377E-2</v>
      </c>
      <c r="R201" s="1219"/>
      <c r="S201" s="1045"/>
    </row>
    <row r="202" spans="1:19" ht="15">
      <c r="K202" s="310"/>
      <c r="L202" s="310"/>
      <c r="M202" s="310"/>
      <c r="N202" s="310"/>
      <c r="O202" s="450"/>
      <c r="P202" s="451" t="s">
        <v>677</v>
      </c>
      <c r="Q202" s="1044">
        <f>'D_Ch2-2'!D57</f>
        <v>3.226127651100269E-2</v>
      </c>
      <c r="R202" s="1219"/>
      <c r="S202" s="1045"/>
    </row>
    <row r="203" spans="1:19" ht="15">
      <c r="K203" s="310"/>
      <c r="L203" s="310"/>
      <c r="M203" s="310"/>
      <c r="N203" s="310"/>
      <c r="O203" s="310"/>
      <c r="P203" s="310"/>
    </row>
    <row r="204" spans="1:19" ht="15">
      <c r="K204" s="310"/>
      <c r="L204" s="310"/>
      <c r="M204" s="310"/>
      <c r="N204" s="310"/>
      <c r="O204" s="310"/>
      <c r="P204" s="310"/>
    </row>
    <row r="205" spans="1:19" ht="15">
      <c r="K205" s="310"/>
      <c r="L205" s="310"/>
      <c r="M205" s="310"/>
      <c r="N205" s="310"/>
      <c r="O205" s="310"/>
      <c r="P205" s="310"/>
    </row>
    <row r="206" spans="1:19" ht="15">
      <c r="K206" s="310"/>
      <c r="L206" s="310"/>
      <c r="M206" s="310"/>
      <c r="N206" s="310"/>
      <c r="O206" s="310"/>
      <c r="P206" s="310"/>
    </row>
    <row r="207" spans="1:19" ht="15">
      <c r="K207" s="310"/>
      <c r="L207" s="310"/>
      <c r="M207" s="310"/>
      <c r="N207" s="310"/>
      <c r="O207" s="310"/>
      <c r="P207" s="310"/>
    </row>
    <row r="208" spans="1:19" ht="15">
      <c r="M208" s="310"/>
      <c r="N208" s="310"/>
      <c r="O208" s="310"/>
      <c r="P208" s="310"/>
      <c r="Q208" s="416"/>
    </row>
    <row r="209" spans="1:19" ht="15">
      <c r="A209" s="852" t="s">
        <v>1262</v>
      </c>
      <c r="B209" s="852"/>
      <c r="C209" s="852"/>
      <c r="D209" s="852"/>
      <c r="E209" s="852"/>
      <c r="F209" s="852"/>
      <c r="G209" s="852"/>
      <c r="H209" s="852"/>
      <c r="I209" s="852"/>
      <c r="J209" s="852"/>
      <c r="K209" s="852"/>
      <c r="L209" s="852"/>
      <c r="M209" s="852"/>
      <c r="N209" s="310"/>
      <c r="O209" s="310"/>
      <c r="P209" s="412" t="s">
        <v>70</v>
      </c>
    </row>
    <row r="210" spans="1:19" ht="15">
      <c r="K210" s="310"/>
      <c r="L210" s="310"/>
      <c r="M210" s="310"/>
      <c r="N210" s="310"/>
      <c r="O210" s="442"/>
      <c r="P210" s="443"/>
      <c r="Q210" s="443" t="s">
        <v>675</v>
      </c>
      <c r="R210" s="443"/>
      <c r="S210" s="444"/>
    </row>
    <row r="211" spans="1:19" ht="15">
      <c r="K211" s="310"/>
      <c r="L211" s="310"/>
      <c r="M211" s="310"/>
      <c r="N211" s="310"/>
      <c r="O211" s="445"/>
      <c r="P211" s="446" t="s">
        <v>1803</v>
      </c>
      <c r="Q211" s="446"/>
      <c r="R211" s="446"/>
      <c r="S211" s="447"/>
    </row>
    <row r="212" spans="1:19" ht="15">
      <c r="K212" s="310"/>
      <c r="L212" s="310"/>
      <c r="M212" s="310"/>
      <c r="N212" s="310"/>
      <c r="O212" s="450"/>
      <c r="P212" s="452" t="s">
        <v>122</v>
      </c>
      <c r="Q212" s="1044">
        <f>'D_Ch2-2'!F57</f>
        <v>-1.5509699085325438E-2</v>
      </c>
      <c r="R212" s="1219"/>
      <c r="S212" s="1045"/>
    </row>
    <row r="213" spans="1:19" ht="15">
      <c r="K213" s="310"/>
      <c r="L213" s="310"/>
      <c r="M213" s="310"/>
      <c r="N213" s="310"/>
      <c r="O213" s="450"/>
      <c r="P213" s="451" t="s">
        <v>674</v>
      </c>
      <c r="Q213" s="1044">
        <f>'D_Ch2-2'!H57</f>
        <v>5.9834020080088215E-2</v>
      </c>
      <c r="R213" s="1219"/>
      <c r="S213" s="1045"/>
    </row>
    <row r="214" spans="1:19" ht="15">
      <c r="K214" s="310"/>
      <c r="L214" s="310"/>
      <c r="M214" s="310"/>
      <c r="N214" s="310"/>
      <c r="O214" s="450"/>
      <c r="P214" s="451" t="s">
        <v>678</v>
      </c>
      <c r="Q214" s="1044">
        <f>'D_Ch2-2'!I57</f>
        <v>2.0772512912643162E-2</v>
      </c>
      <c r="R214" s="1219"/>
      <c r="S214" s="1045"/>
    </row>
    <row r="215" spans="1:19" ht="15">
      <c r="K215" s="310"/>
      <c r="L215" s="310"/>
      <c r="M215" s="310"/>
      <c r="N215" s="310"/>
      <c r="O215" s="310"/>
    </row>
    <row r="216" spans="1:19" ht="15">
      <c r="K216" s="310"/>
      <c r="L216" s="310"/>
      <c r="M216" s="310"/>
      <c r="N216" s="310"/>
      <c r="O216" s="310"/>
    </row>
    <row r="217" spans="1:19" ht="15">
      <c r="K217" s="310"/>
      <c r="L217" s="310"/>
      <c r="M217" s="310"/>
      <c r="N217" s="310"/>
      <c r="O217" s="310"/>
    </row>
    <row r="218" spans="1:19" ht="15">
      <c r="K218" s="310"/>
      <c r="L218" s="310"/>
      <c r="M218" s="310"/>
      <c r="N218" s="310"/>
      <c r="O218" s="310"/>
    </row>
    <row r="219" spans="1:19" ht="15">
      <c r="K219" s="310"/>
      <c r="L219" s="310"/>
      <c r="M219" s="310"/>
      <c r="N219" s="310"/>
      <c r="O219" s="310"/>
    </row>
    <row r="220" spans="1:19" ht="15">
      <c r="K220" s="310"/>
      <c r="L220" s="310"/>
      <c r="M220" s="310"/>
      <c r="N220" s="310"/>
      <c r="O220" s="310"/>
    </row>
    <row r="221" spans="1:19" ht="15">
      <c r="K221" s="310"/>
      <c r="L221" s="310"/>
      <c r="M221" s="310"/>
      <c r="N221" s="310"/>
      <c r="O221" s="310"/>
    </row>
    <row r="222" spans="1:19" ht="15" hidden="1">
      <c r="K222" s="310"/>
      <c r="L222" s="310"/>
      <c r="M222" s="310"/>
      <c r="N222" s="310"/>
      <c r="O222" s="310"/>
    </row>
    <row r="223" spans="1:19" ht="15" hidden="1">
      <c r="K223" s="310"/>
      <c r="L223" s="310"/>
      <c r="M223" s="310"/>
      <c r="N223" s="310"/>
      <c r="O223" s="310"/>
    </row>
    <row r="224" spans="1:19" ht="15" hidden="1">
      <c r="K224" s="310"/>
      <c r="L224" s="310"/>
      <c r="M224" s="310"/>
      <c r="N224" s="310"/>
      <c r="O224" s="310"/>
    </row>
    <row r="225" spans="11:15" ht="15" hidden="1">
      <c r="K225" s="310"/>
      <c r="L225" s="310"/>
      <c r="M225" s="310"/>
      <c r="N225" s="310"/>
      <c r="O225" s="310"/>
    </row>
    <row r="226" spans="11:15" ht="15" hidden="1">
      <c r="K226" s="310"/>
      <c r="L226" s="310"/>
      <c r="M226" s="310"/>
      <c r="N226" s="310"/>
      <c r="O226" s="310"/>
    </row>
    <row r="227" spans="11:15" ht="15" hidden="1">
      <c r="K227" s="310"/>
      <c r="L227" s="310"/>
      <c r="M227" s="310"/>
      <c r="N227" s="310"/>
      <c r="O227" s="310"/>
    </row>
    <row r="228" spans="11:15" ht="15" hidden="1">
      <c r="K228" s="310"/>
      <c r="L228" s="310"/>
      <c r="M228" s="310"/>
      <c r="N228" s="310"/>
      <c r="O228" s="310"/>
    </row>
    <row r="229" spans="11:15" ht="15" hidden="1">
      <c r="K229" s="310"/>
      <c r="L229" s="310"/>
      <c r="M229" s="310"/>
      <c r="N229" s="310"/>
      <c r="O229" s="310"/>
    </row>
    <row r="230" spans="11:15" ht="15" hidden="1">
      <c r="K230" s="310"/>
      <c r="L230" s="310"/>
      <c r="M230" s="310"/>
      <c r="N230" s="310"/>
      <c r="O230" s="310"/>
    </row>
    <row r="231" spans="11:15" ht="15" hidden="1">
      <c r="K231" s="310"/>
      <c r="L231" s="310"/>
      <c r="M231" s="310"/>
      <c r="N231" s="310"/>
      <c r="O231" s="310"/>
    </row>
    <row r="232" spans="11:15" ht="15" hidden="1">
      <c r="K232" s="310"/>
      <c r="L232" s="310"/>
      <c r="M232" s="310"/>
      <c r="N232" s="310"/>
      <c r="O232" s="310"/>
    </row>
    <row r="233" spans="11:15" ht="15" hidden="1">
      <c r="K233" s="310"/>
      <c r="L233" s="310"/>
      <c r="M233" s="310"/>
      <c r="N233" s="310"/>
      <c r="O233" s="310"/>
    </row>
    <row r="234" spans="11:15" ht="15" hidden="1">
      <c r="K234" s="310"/>
      <c r="L234" s="310"/>
      <c r="M234" s="310"/>
      <c r="N234" s="310"/>
      <c r="O234" s="310"/>
    </row>
    <row r="235" spans="11:15" ht="15" hidden="1">
      <c r="K235" s="310"/>
      <c r="L235" s="310"/>
      <c r="M235" s="310"/>
      <c r="N235" s="310"/>
      <c r="O235" s="310"/>
    </row>
    <row r="236" spans="11:15" ht="15" hidden="1">
      <c r="K236" s="310"/>
      <c r="L236" s="310"/>
      <c r="M236" s="310"/>
      <c r="N236" s="310"/>
      <c r="O236" s="310"/>
    </row>
    <row r="237" spans="11:15" ht="15" hidden="1">
      <c r="K237" s="310"/>
      <c r="L237" s="310"/>
      <c r="M237" s="310"/>
      <c r="N237" s="310"/>
      <c r="O237" s="310"/>
    </row>
    <row r="238" spans="11:15" ht="15" hidden="1">
      <c r="K238" s="310"/>
      <c r="L238" s="310"/>
      <c r="M238" s="310"/>
      <c r="N238" s="310"/>
      <c r="O238" s="310"/>
    </row>
    <row r="239" spans="11:15" ht="15" hidden="1">
      <c r="K239" s="310"/>
      <c r="L239" s="310"/>
      <c r="M239" s="310"/>
      <c r="N239" s="310"/>
      <c r="O239" s="310"/>
    </row>
    <row r="240" spans="11:15" ht="15" hidden="1">
      <c r="K240" s="310"/>
      <c r="L240" s="310"/>
      <c r="M240" s="310"/>
      <c r="N240" s="310"/>
      <c r="O240" s="310"/>
    </row>
    <row r="241" spans="11:15" ht="15" hidden="1">
      <c r="K241" s="310"/>
      <c r="L241" s="310"/>
      <c r="M241" s="310"/>
      <c r="N241" s="310"/>
      <c r="O241" s="310"/>
    </row>
    <row r="242" spans="11:15" ht="15" hidden="1">
      <c r="K242" s="310"/>
      <c r="L242" s="310"/>
      <c r="M242" s="310"/>
      <c r="N242" s="310"/>
      <c r="O242" s="310"/>
    </row>
    <row r="243" spans="11:15" ht="15" hidden="1">
      <c r="K243" s="310"/>
      <c r="L243" s="310"/>
      <c r="M243" s="310"/>
      <c r="N243" s="310"/>
      <c r="O243" s="310"/>
    </row>
    <row r="244" spans="11:15" ht="15" hidden="1">
      <c r="K244" s="310"/>
      <c r="L244" s="310"/>
      <c r="M244" s="310"/>
      <c r="N244" s="310"/>
      <c r="O244" s="310"/>
    </row>
    <row r="245" spans="11:15" ht="15" hidden="1">
      <c r="K245" s="310"/>
      <c r="L245" s="310"/>
      <c r="M245" s="310"/>
      <c r="N245" s="310"/>
      <c r="O245" s="310"/>
    </row>
    <row r="246" spans="11:15" ht="15" hidden="1">
      <c r="K246" s="310"/>
      <c r="L246" s="310"/>
      <c r="M246" s="310"/>
      <c r="N246" s="310"/>
      <c r="O246" s="310"/>
    </row>
    <row r="247" spans="11:15" ht="15" hidden="1">
      <c r="K247" s="310"/>
      <c r="L247" s="310"/>
      <c r="M247" s="310"/>
      <c r="N247" s="310"/>
      <c r="O247" s="310"/>
    </row>
    <row r="248" spans="11:15" ht="15" hidden="1">
      <c r="K248" s="310"/>
      <c r="L248" s="310"/>
      <c r="M248" s="310"/>
      <c r="N248" s="310"/>
      <c r="O248" s="310"/>
    </row>
    <row r="249" spans="11:15" ht="15" hidden="1">
      <c r="K249" s="310"/>
      <c r="L249" s="310"/>
      <c r="M249" s="310"/>
      <c r="N249" s="310"/>
      <c r="O249" s="310"/>
    </row>
    <row r="250" spans="11:15" ht="15" hidden="1">
      <c r="K250" s="310"/>
      <c r="L250" s="310"/>
      <c r="M250" s="310"/>
      <c r="N250" s="310"/>
      <c r="O250" s="310"/>
    </row>
    <row r="251" spans="11:15" ht="15" hidden="1">
      <c r="K251" s="310"/>
      <c r="L251" s="310"/>
      <c r="M251" s="310"/>
      <c r="N251" s="310"/>
      <c r="O251" s="310"/>
    </row>
    <row r="252" spans="11:15" ht="15" hidden="1">
      <c r="K252" s="310"/>
      <c r="L252" s="310"/>
      <c r="M252" s="310"/>
      <c r="N252" s="310"/>
      <c r="O252" s="310"/>
    </row>
    <row r="253" spans="11:15" ht="15" hidden="1">
      <c r="K253" s="310"/>
      <c r="L253" s="310"/>
      <c r="M253" s="310"/>
      <c r="N253" s="310"/>
      <c r="O253" s="310"/>
    </row>
    <row r="254" spans="11:15" ht="15" hidden="1">
      <c r="K254" s="310"/>
      <c r="L254" s="310"/>
      <c r="M254" s="310"/>
      <c r="N254" s="310"/>
      <c r="O254" s="310"/>
    </row>
    <row r="255" spans="11:15" ht="15" hidden="1">
      <c r="K255" s="310"/>
      <c r="L255" s="310"/>
      <c r="M255" s="310"/>
      <c r="N255" s="310"/>
      <c r="O255" s="310"/>
    </row>
    <row r="256" spans="11:15" ht="15" hidden="1">
      <c r="K256" s="310"/>
      <c r="L256" s="310"/>
      <c r="M256" s="310"/>
      <c r="N256" s="310"/>
      <c r="O256" s="310"/>
    </row>
    <row r="257" spans="11:15" ht="15" hidden="1">
      <c r="K257" s="310"/>
      <c r="L257" s="310"/>
      <c r="M257" s="310"/>
      <c r="N257" s="310"/>
      <c r="O257" s="310"/>
    </row>
    <row r="258" spans="11:15" ht="15" hidden="1">
      <c r="K258" s="310"/>
      <c r="L258" s="310"/>
      <c r="M258" s="310"/>
      <c r="N258" s="310"/>
      <c r="O258" s="310"/>
    </row>
    <row r="259" spans="11:15" ht="15" hidden="1">
      <c r="K259" s="310"/>
      <c r="L259" s="310"/>
      <c r="M259" s="310"/>
      <c r="N259" s="310"/>
      <c r="O259" s="310"/>
    </row>
    <row r="260" spans="11:15" ht="15" hidden="1">
      <c r="K260" s="310"/>
      <c r="L260" s="310"/>
      <c r="M260" s="310"/>
      <c r="N260" s="310"/>
    </row>
    <row r="261" spans="11:15" ht="15" hidden="1">
      <c r="K261" s="310"/>
      <c r="L261" s="310"/>
      <c r="M261" s="310"/>
      <c r="N261" s="310"/>
    </row>
    <row r="262" spans="11:15" ht="15" hidden="1">
      <c r="K262" s="310"/>
      <c r="L262" s="310"/>
      <c r="M262" s="310"/>
    </row>
    <row r="263" spans="11:15" ht="15" hidden="1">
      <c r="K263" s="310"/>
      <c r="L263" s="310"/>
      <c r="M263" s="310"/>
    </row>
    <row r="264" spans="11:15" ht="15" hidden="1">
      <c r="K264" s="310"/>
      <c r="L264" s="310"/>
      <c r="M264" s="310"/>
    </row>
    <row r="265" spans="11:15" ht="15" hidden="1">
      <c r="K265" s="310"/>
      <c r="L265" s="310"/>
      <c r="M265" s="310"/>
    </row>
    <row r="266" spans="11:15" ht="15" hidden="1">
      <c r="K266" s="310"/>
      <c r="L266" s="310"/>
      <c r="M266" s="310"/>
    </row>
    <row r="267" spans="11:15" ht="15" hidden="1">
      <c r="K267" s="310"/>
      <c r="L267" s="310"/>
      <c r="M267" s="310"/>
    </row>
    <row r="268" spans="11:15" ht="15" hidden="1">
      <c r="K268" s="310"/>
      <c r="L268" s="310"/>
      <c r="M268" s="310"/>
    </row>
    <row r="269" spans="11:15" ht="15" hidden="1">
      <c r="K269" s="310"/>
      <c r="L269" s="310"/>
      <c r="M269" s="310"/>
    </row>
    <row r="270" spans="11:15" ht="15" hidden="1">
      <c r="K270" s="310"/>
      <c r="L270" s="310"/>
      <c r="M270" s="310"/>
    </row>
    <row r="271" spans="11:15" ht="15" hidden="1">
      <c r="K271" s="310"/>
      <c r="L271" s="310"/>
      <c r="M271" s="310"/>
    </row>
    <row r="272" spans="11:15" ht="15" hidden="1">
      <c r="K272" s="310"/>
      <c r="L272" s="310"/>
      <c r="M272" s="310"/>
    </row>
    <row r="273" spans="11:13" ht="15" hidden="1">
      <c r="K273" s="310"/>
      <c r="L273" s="310"/>
      <c r="M273" s="310"/>
    </row>
    <row r="274" spans="11:13" ht="15" hidden="1">
      <c r="K274" s="310"/>
      <c r="L274" s="310"/>
      <c r="M274" s="310"/>
    </row>
    <row r="275" spans="11:13" ht="15" hidden="1">
      <c r="K275" s="310"/>
      <c r="L275" s="310"/>
      <c r="M275" s="310"/>
    </row>
    <row r="276" spans="11:13" ht="15" hidden="1">
      <c r="K276" s="310"/>
      <c r="L276" s="310"/>
      <c r="M276" s="310"/>
    </row>
    <row r="277" spans="11:13" ht="15" hidden="1">
      <c r="K277" s="310"/>
      <c r="L277" s="310"/>
      <c r="M277" s="310"/>
    </row>
    <row r="278" spans="11:13" ht="15" hidden="1">
      <c r="K278" s="310"/>
      <c r="L278" s="310"/>
      <c r="M278" s="310"/>
    </row>
    <row r="279" spans="11:13" ht="15" hidden="1">
      <c r="K279" s="310"/>
      <c r="L279" s="310"/>
      <c r="M279" s="310"/>
    </row>
    <row r="280" spans="11:13" ht="15" hidden="1">
      <c r="K280" s="310"/>
      <c r="L280" s="310"/>
      <c r="M280" s="310"/>
    </row>
    <row r="281" spans="11:13" ht="15" hidden="1">
      <c r="K281" s="310"/>
      <c r="L281" s="310"/>
      <c r="M281" s="310"/>
    </row>
    <row r="282" spans="11:13" ht="15" hidden="1">
      <c r="K282" s="310"/>
      <c r="L282" s="310"/>
      <c r="M282" s="310"/>
    </row>
    <row r="283" spans="11:13" ht="15" hidden="1">
      <c r="K283" s="310"/>
      <c r="L283" s="310"/>
      <c r="M283" s="310"/>
    </row>
    <row r="284" spans="11:13" ht="15" hidden="1">
      <c r="K284" s="310"/>
      <c r="L284" s="310"/>
      <c r="M284" s="310"/>
    </row>
    <row r="285" spans="11:13" ht="15" hidden="1">
      <c r="K285" s="310"/>
      <c r="L285" s="310"/>
      <c r="M285" s="310"/>
    </row>
    <row r="286" spans="11:13" ht="15" hidden="1">
      <c r="K286" s="310"/>
      <c r="L286" s="310"/>
      <c r="M286" s="310"/>
    </row>
    <row r="287" spans="11:13" ht="15" hidden="1">
      <c r="K287" s="310"/>
      <c r="L287" s="310"/>
      <c r="M287" s="310"/>
    </row>
    <row r="288" spans="11:13" ht="15" hidden="1">
      <c r="K288" s="310"/>
      <c r="L288" s="310"/>
      <c r="M288" s="310"/>
    </row>
    <row r="289" spans="11:13" ht="15" hidden="1">
      <c r="K289" s="310"/>
      <c r="L289" s="310"/>
      <c r="M289" s="310"/>
    </row>
    <row r="290" spans="11:13" ht="15" hidden="1">
      <c r="K290" s="310"/>
      <c r="L290" s="310"/>
      <c r="M290" s="310"/>
    </row>
    <row r="291" spans="11:13" ht="15" hidden="1">
      <c r="K291" s="310"/>
      <c r="L291" s="310"/>
      <c r="M291" s="310"/>
    </row>
    <row r="292" spans="11:13" ht="15" hidden="1">
      <c r="K292" s="310"/>
      <c r="L292" s="310"/>
      <c r="M292" s="310"/>
    </row>
    <row r="293" spans="11:13" ht="15" hidden="1">
      <c r="K293" s="310"/>
      <c r="L293" s="310"/>
      <c r="M293" s="310"/>
    </row>
    <row r="294" spans="11:13" ht="15" hidden="1">
      <c r="K294" s="310"/>
      <c r="L294" s="310"/>
      <c r="M294" s="310"/>
    </row>
    <row r="295" spans="11:13" ht="15" hidden="1">
      <c r="K295" s="310"/>
      <c r="L295" s="310"/>
      <c r="M295" s="310"/>
    </row>
    <row r="296" spans="11:13" ht="15" hidden="1">
      <c r="K296" s="310"/>
      <c r="L296" s="310"/>
      <c r="M296" s="310"/>
    </row>
    <row r="297" spans="11:13" ht="15" hidden="1">
      <c r="K297" s="310"/>
      <c r="L297" s="310"/>
      <c r="M297" s="310"/>
    </row>
    <row r="298" spans="11:13" ht="15" hidden="1">
      <c r="K298" s="310"/>
      <c r="L298" s="310"/>
      <c r="M298" s="310"/>
    </row>
    <row r="299" spans="11:13" ht="15" hidden="1">
      <c r="K299" s="310"/>
      <c r="L299" s="310"/>
      <c r="M299" s="310"/>
    </row>
    <row r="300" spans="11:13" ht="15" hidden="1">
      <c r="K300" s="310"/>
      <c r="L300" s="310"/>
      <c r="M300" s="310"/>
    </row>
    <row r="301" spans="11:13" ht="15" hidden="1">
      <c r="K301" s="310"/>
      <c r="L301" s="310"/>
      <c r="M301" s="310"/>
    </row>
    <row r="302" spans="11:13" ht="15" hidden="1">
      <c r="K302" s="310"/>
      <c r="L302" s="310"/>
      <c r="M302" s="310"/>
    </row>
    <row r="303" spans="11:13" ht="15" hidden="1">
      <c r="K303" s="310"/>
      <c r="L303" s="310"/>
      <c r="M303" s="310"/>
    </row>
    <row r="304" spans="11:13" ht="15" hidden="1">
      <c r="K304" s="310"/>
      <c r="L304" s="310"/>
      <c r="M304" s="310"/>
    </row>
    <row r="305" spans="11:13" ht="15" hidden="1">
      <c r="K305" s="310"/>
      <c r="L305" s="310"/>
      <c r="M305" s="310"/>
    </row>
    <row r="306" spans="11:13" ht="15" hidden="1">
      <c r="K306" s="310"/>
      <c r="L306" s="310"/>
      <c r="M306" s="310"/>
    </row>
    <row r="307" spans="11:13" ht="15" hidden="1">
      <c r="K307" s="310"/>
      <c r="L307" s="310"/>
      <c r="M307" s="310"/>
    </row>
    <row r="308" spans="11:13" ht="15" hidden="1">
      <c r="K308" s="310"/>
      <c r="L308" s="310"/>
      <c r="M308" s="310"/>
    </row>
    <row r="309" spans="11:13" ht="15" hidden="1">
      <c r="K309" s="310"/>
      <c r="L309" s="310"/>
      <c r="M309" s="310"/>
    </row>
    <row r="310" spans="11:13" ht="15" hidden="1">
      <c r="K310" s="310"/>
      <c r="L310" s="310"/>
      <c r="M310" s="310"/>
    </row>
    <row r="311" spans="11:13" ht="15" hidden="1">
      <c r="K311" s="310"/>
      <c r="L311" s="310"/>
    </row>
    <row r="312" spans="11:13" ht="15" hidden="1">
      <c r="K312" s="310"/>
      <c r="L312" s="310"/>
    </row>
    <row r="313" spans="11:13" ht="15" hidden="1">
      <c r="K313" s="310"/>
      <c r="L313" s="310"/>
    </row>
    <row r="314" spans="11:13" ht="15" hidden="1">
      <c r="K314" s="310"/>
      <c r="L314" s="310"/>
    </row>
    <row r="315" spans="11:13" ht="15" hidden="1">
      <c r="K315" s="310"/>
      <c r="L315" s="310"/>
    </row>
    <row r="316" spans="11:13" ht="15" hidden="1">
      <c r="K316" s="310"/>
      <c r="L316" s="310"/>
    </row>
    <row r="317" spans="11:13" ht="15" hidden="1">
      <c r="K317" s="310"/>
      <c r="L317" s="310"/>
    </row>
    <row r="318" spans="11:13" ht="15" hidden="1">
      <c r="K318" s="310"/>
      <c r="L318" s="310"/>
    </row>
    <row r="319" spans="11:13" ht="15" hidden="1">
      <c r="K319" s="310"/>
      <c r="L319" s="310"/>
    </row>
    <row r="320" spans="11:13" ht="15" hidden="1">
      <c r="K320" s="310"/>
      <c r="L320" s="310"/>
    </row>
    <row r="321" spans="11:12" ht="15" hidden="1">
      <c r="K321" s="310"/>
      <c r="L321" s="310"/>
    </row>
    <row r="322" spans="11:12" ht="15" hidden="1">
      <c r="K322" s="310"/>
      <c r="L322" s="310"/>
    </row>
    <row r="323" spans="11:12" ht="15" hidden="1">
      <c r="K323" s="310"/>
      <c r="L323" s="310"/>
    </row>
    <row r="324" spans="11:12" ht="15" hidden="1">
      <c r="K324" s="310"/>
      <c r="L324" s="310"/>
    </row>
    <row r="325" spans="11:12" ht="15" hidden="1">
      <c r="K325" s="310"/>
      <c r="L325" s="310"/>
    </row>
    <row r="326" spans="11:12" ht="15" hidden="1">
      <c r="K326" s="310"/>
      <c r="L326" s="310"/>
    </row>
    <row r="327" spans="11:12" ht="15" hidden="1">
      <c r="K327" s="310"/>
      <c r="L327" s="310"/>
    </row>
    <row r="328" spans="11:12" ht="15" hidden="1">
      <c r="K328" s="310"/>
      <c r="L328" s="310"/>
    </row>
    <row r="329" spans="11:12" ht="15" hidden="1">
      <c r="K329" s="310"/>
      <c r="L329" s="310"/>
    </row>
    <row r="330" spans="11:12" ht="15" hidden="1">
      <c r="K330" s="310"/>
      <c r="L330" s="310"/>
    </row>
    <row r="331" spans="11:12" ht="15" hidden="1">
      <c r="K331" s="310"/>
      <c r="L331" s="310"/>
    </row>
    <row r="332" spans="11:12" ht="15" hidden="1">
      <c r="K332" s="310"/>
      <c r="L332" s="310"/>
    </row>
    <row r="333" spans="11:12" ht="15" hidden="1">
      <c r="K333" s="310"/>
      <c r="L333" s="310"/>
    </row>
    <row r="334" spans="11:12" ht="15" hidden="1">
      <c r="K334" s="310"/>
      <c r="L334" s="310"/>
    </row>
    <row r="335" spans="11:12" ht="15" hidden="1">
      <c r="K335" s="310"/>
      <c r="L335" s="310"/>
    </row>
    <row r="336" spans="11:12" ht="15" hidden="1">
      <c r="K336" s="310"/>
      <c r="L336" s="310"/>
    </row>
    <row r="337" spans="11:12" ht="15" hidden="1">
      <c r="K337" s="310"/>
      <c r="L337" s="310"/>
    </row>
    <row r="338" spans="11:12" ht="15" hidden="1">
      <c r="K338" s="310"/>
      <c r="L338" s="310"/>
    </row>
    <row r="339" spans="11:12" ht="15" hidden="1">
      <c r="K339" s="310"/>
      <c r="L339" s="310"/>
    </row>
    <row r="340" spans="11:12" ht="15" hidden="1">
      <c r="K340" s="310"/>
      <c r="L340" s="310"/>
    </row>
    <row r="341" spans="11:12" ht="15" hidden="1">
      <c r="K341" s="310"/>
      <c r="L341" s="310"/>
    </row>
    <row r="342" spans="11:12" ht="15" hidden="1">
      <c r="K342" s="310"/>
      <c r="L342" s="310"/>
    </row>
    <row r="343" spans="11:12" ht="15" hidden="1">
      <c r="K343" s="310"/>
      <c r="L343" s="310"/>
    </row>
    <row r="344" spans="11:12" ht="15" hidden="1">
      <c r="K344" s="310"/>
      <c r="L344" s="310"/>
    </row>
    <row r="345" spans="11:12" ht="15" hidden="1">
      <c r="K345" s="310"/>
      <c r="L345" s="310"/>
    </row>
    <row r="346" spans="11:12" ht="15" hidden="1">
      <c r="K346" s="310"/>
      <c r="L346" s="310"/>
    </row>
    <row r="347" spans="11:12" ht="15" hidden="1">
      <c r="K347" s="310"/>
      <c r="L347" s="310"/>
    </row>
    <row r="348" spans="11:12" ht="15" hidden="1">
      <c r="K348" s="310"/>
      <c r="L348" s="310"/>
    </row>
    <row r="349" spans="11:12" ht="15" hidden="1">
      <c r="K349" s="310"/>
      <c r="L349" s="310"/>
    </row>
    <row r="350" spans="11:12" ht="15" hidden="1">
      <c r="K350" s="310"/>
      <c r="L350" s="310"/>
    </row>
    <row r="351" spans="11:12" ht="15" hidden="1">
      <c r="K351" s="310"/>
      <c r="L351" s="310"/>
    </row>
    <row r="352" spans="11:12" ht="15" hidden="1">
      <c r="K352" s="310"/>
      <c r="L352" s="310"/>
    </row>
    <row r="353" spans="11:12" ht="15" hidden="1">
      <c r="K353" s="310"/>
      <c r="L353" s="310"/>
    </row>
    <row r="354" spans="11:12" ht="15" hidden="1">
      <c r="K354" s="310"/>
      <c r="L354" s="310"/>
    </row>
    <row r="355" spans="11:12" ht="15" hidden="1">
      <c r="K355" s="310"/>
      <c r="L355" s="310"/>
    </row>
    <row r="356" spans="11:12" ht="15" hidden="1">
      <c r="K356" s="310"/>
      <c r="L356" s="310"/>
    </row>
    <row r="357" spans="11:12" ht="15" hidden="1">
      <c r="K357" s="310"/>
      <c r="L357" s="310"/>
    </row>
    <row r="358" spans="11:12" ht="15" hidden="1">
      <c r="K358" s="310"/>
      <c r="L358" s="310"/>
    </row>
    <row r="359" spans="11:12" ht="15" hidden="1">
      <c r="K359" s="310"/>
      <c r="L359" s="310"/>
    </row>
    <row r="360" spans="11:12" ht="15" hidden="1">
      <c r="K360" s="310"/>
    </row>
    <row r="361" spans="11:12" ht="15" hidden="1">
      <c r="K361" s="310"/>
    </row>
    <row r="362" spans="11:12" ht="15" hidden="1">
      <c r="K362" s="310"/>
    </row>
    <row r="363" spans="11:12" ht="15" hidden="1">
      <c r="K363" s="310"/>
    </row>
    <row r="364" spans="11:12" ht="15" hidden="1">
      <c r="K364" s="310"/>
    </row>
    <row r="365" spans="11:12" ht="15" hidden="1">
      <c r="K365" s="310"/>
    </row>
    <row r="366" spans="11:12" ht="15" hidden="1">
      <c r="K366" s="310"/>
    </row>
    <row r="367" spans="11:12" ht="15" hidden="1">
      <c r="K367" s="310"/>
    </row>
    <row r="368" spans="11:12" ht="15" hidden="1">
      <c r="K368" s="310"/>
    </row>
    <row r="369" spans="11:11" ht="15" hidden="1">
      <c r="K369" s="310"/>
    </row>
    <row r="370" spans="11:11" ht="15" hidden="1">
      <c r="K370" s="310"/>
    </row>
    <row r="371" spans="11:11" ht="15" hidden="1">
      <c r="K371" s="310"/>
    </row>
    <row r="372" spans="11:11" ht="15" hidden="1">
      <c r="K372" s="310"/>
    </row>
    <row r="373" spans="11:11" ht="15" hidden="1">
      <c r="K373" s="310"/>
    </row>
    <row r="374" spans="11:11" ht="15" hidden="1">
      <c r="K374" s="310"/>
    </row>
    <row r="375" spans="11:11" ht="15" hidden="1">
      <c r="K375" s="310"/>
    </row>
    <row r="376" spans="11:11" ht="15" hidden="1">
      <c r="K376" s="310"/>
    </row>
    <row r="377" spans="11:11" ht="15" hidden="1">
      <c r="K377" s="310"/>
    </row>
    <row r="378" spans="11:11" ht="15" hidden="1">
      <c r="K378" s="310"/>
    </row>
    <row r="379" spans="11:11" ht="15" hidden="1">
      <c r="K379" s="310"/>
    </row>
    <row r="380" spans="11:11" ht="15" hidden="1">
      <c r="K380" s="310"/>
    </row>
    <row r="381" spans="11:11" ht="15" hidden="1">
      <c r="K381" s="310"/>
    </row>
    <row r="382" spans="11:11" ht="15" hidden="1">
      <c r="K382" s="310"/>
    </row>
    <row r="383" spans="11:11" ht="15" hidden="1">
      <c r="K383" s="310"/>
    </row>
    <row r="384" spans="11:11" ht="15" hidden="1">
      <c r="K384" s="310"/>
    </row>
    <row r="385" spans="11:11" ht="15" hidden="1">
      <c r="K385" s="310"/>
    </row>
    <row r="386" spans="11:11" ht="15" hidden="1">
      <c r="K386" s="310"/>
    </row>
    <row r="387" spans="11:11" ht="15" hidden="1">
      <c r="K387" s="310"/>
    </row>
    <row r="388" spans="11:11" ht="15" hidden="1">
      <c r="K388" s="310"/>
    </row>
    <row r="389" spans="11:11" ht="15" hidden="1">
      <c r="K389" s="310"/>
    </row>
    <row r="390" spans="11:11" ht="15" hidden="1">
      <c r="K390" s="310"/>
    </row>
    <row r="391" spans="11:11" ht="15" hidden="1">
      <c r="K391" s="310"/>
    </row>
    <row r="392" spans="11:11" ht="15" hidden="1">
      <c r="K392" s="310"/>
    </row>
    <row r="393" spans="11:11" ht="15" hidden="1">
      <c r="K393" s="310"/>
    </row>
    <row r="394" spans="11:11" ht="15" hidden="1">
      <c r="K394" s="310"/>
    </row>
    <row r="395" spans="11:11" ht="15" hidden="1">
      <c r="K395" s="310"/>
    </row>
    <row r="396" spans="11:11" ht="15" hidden="1">
      <c r="K396" s="310"/>
    </row>
    <row r="397" spans="11:11" ht="15" hidden="1">
      <c r="K397" s="310"/>
    </row>
    <row r="398" spans="11:11" ht="15" hidden="1">
      <c r="K398" s="310"/>
    </row>
    <row r="399" spans="11:11" ht="15" hidden="1">
      <c r="K399" s="310"/>
    </row>
    <row r="400" spans="11:11" ht="15" hidden="1">
      <c r="K400" s="310"/>
    </row>
    <row r="401" spans="11:11" ht="15" hidden="1">
      <c r="K401" s="310"/>
    </row>
    <row r="402" spans="11:11" ht="15" hidden="1">
      <c r="K402" s="310"/>
    </row>
    <row r="403" spans="11:11" ht="15" hidden="1">
      <c r="K403" s="310"/>
    </row>
    <row r="404" spans="11:11" ht="15" hidden="1">
      <c r="K404" s="310"/>
    </row>
    <row r="405" spans="11:11" ht="15" hidden="1">
      <c r="K405" s="310"/>
    </row>
    <row r="406" spans="11:11" ht="15" hidden="1">
      <c r="K406" s="310"/>
    </row>
    <row r="407" spans="11:11" ht="15" hidden="1">
      <c r="K407" s="310"/>
    </row>
    <row r="408" spans="11:11" ht="15" hidden="1">
      <c r="K408" s="310"/>
    </row>
    <row r="409" spans="11:11" hidden="1"/>
  </sheetData>
  <sheetProtection algorithmName="SHA-512" hashValue="WswdXBqExTmqwfSRBhw5/NLCtu9wPxc84F9NVI2UwpkvnokdBj38D9FkAntCxRID7Csg1ijJuvjehDdILdJgSQ==" saltValue="IGzO0XXyJo0FTtL0xdDMQQ==" spinCount="100000" sheet="1" objects="1" autoFilter="0"/>
  <mergeCells count="151">
    <mergeCell ref="A193:C193"/>
    <mergeCell ref="A192:C192"/>
    <mergeCell ref="A191:C191"/>
    <mergeCell ref="E190:F190"/>
    <mergeCell ref="A190:C190"/>
    <mergeCell ref="A188:C188"/>
    <mergeCell ref="A189:C189"/>
    <mergeCell ref="E184:F184"/>
    <mergeCell ref="E185:F185"/>
    <mergeCell ref="A179:C179"/>
    <mergeCell ref="A180:C180"/>
    <mergeCell ref="A181:C181"/>
    <mergeCell ref="A182:C182"/>
    <mergeCell ref="A183:C183"/>
    <mergeCell ref="A184:C184"/>
    <mergeCell ref="A185:C185"/>
    <mergeCell ref="A186:C186"/>
    <mergeCell ref="A187:C187"/>
    <mergeCell ref="Q200:S200"/>
    <mergeCell ref="Q201:S201"/>
    <mergeCell ref="Q202:S202"/>
    <mergeCell ref="Q212:S212"/>
    <mergeCell ref="E179:F179"/>
    <mergeCell ref="E180:F180"/>
    <mergeCell ref="E181:F181"/>
    <mergeCell ref="E182:F182"/>
    <mergeCell ref="E183:F183"/>
    <mergeCell ref="E193:F193"/>
    <mergeCell ref="E194:F194"/>
    <mergeCell ref="Q213:S213"/>
    <mergeCell ref="Q214:S214"/>
    <mergeCell ref="H124:I124"/>
    <mergeCell ref="F167:T170"/>
    <mergeCell ref="A172:T173"/>
    <mergeCell ref="P127:Q127"/>
    <mergeCell ref="D129:G129"/>
    <mergeCell ref="H125:I125"/>
    <mergeCell ref="H128:I128"/>
    <mergeCell ref="H129:I129"/>
    <mergeCell ref="D177:G178"/>
    <mergeCell ref="J176:L176"/>
    <mergeCell ref="D125:G125"/>
    <mergeCell ref="D124:G124"/>
    <mergeCell ref="E191:F191"/>
    <mergeCell ref="E192:F192"/>
    <mergeCell ref="N176:P176"/>
    <mergeCell ref="R176:T176"/>
    <mergeCell ref="L177:N177"/>
    <mergeCell ref="Q177:S177"/>
    <mergeCell ref="E186:F186"/>
    <mergeCell ref="E187:F187"/>
    <mergeCell ref="E188:F188"/>
    <mergeCell ref="E189:F189"/>
    <mergeCell ref="A9:C9"/>
    <mergeCell ref="A71:F71"/>
    <mergeCell ref="A72:F72"/>
    <mergeCell ref="G71:H71"/>
    <mergeCell ref="I71:J71"/>
    <mergeCell ref="A76:D76"/>
    <mergeCell ref="S71:T71"/>
    <mergeCell ref="G72:H72"/>
    <mergeCell ref="I72:J72"/>
    <mergeCell ref="Q72:R72"/>
    <mergeCell ref="K71:P71"/>
    <mergeCell ref="K72:P72"/>
    <mergeCell ref="S70:T70"/>
    <mergeCell ref="K70:P70"/>
    <mergeCell ref="A61:T62"/>
    <mergeCell ref="Q71:R71"/>
    <mergeCell ref="S72:T72"/>
    <mergeCell ref="A68:F68"/>
    <mergeCell ref="A69:F69"/>
    <mergeCell ref="A70:F70"/>
    <mergeCell ref="H64:K64"/>
    <mergeCell ref="P64:S64"/>
    <mergeCell ref="A64:C64"/>
    <mergeCell ref="S67:T67"/>
    <mergeCell ref="L123:O123"/>
    <mergeCell ref="P123:Q123"/>
    <mergeCell ref="D126:G126"/>
    <mergeCell ref="D127:G127"/>
    <mergeCell ref="D128:G128"/>
    <mergeCell ref="L129:O129"/>
    <mergeCell ref="P129:Q129"/>
    <mergeCell ref="P126:Q126"/>
    <mergeCell ref="L124:O124"/>
    <mergeCell ref="H123:I123"/>
    <mergeCell ref="L128:O128"/>
    <mergeCell ref="P128:Q128"/>
    <mergeCell ref="H126:I126"/>
    <mergeCell ref="H127:I127"/>
    <mergeCell ref="P124:Q124"/>
    <mergeCell ref="L125:O125"/>
    <mergeCell ref="P125:Q125"/>
    <mergeCell ref="L126:O126"/>
    <mergeCell ref="L127:O127"/>
    <mergeCell ref="D123:G123"/>
    <mergeCell ref="P122:Q122"/>
    <mergeCell ref="L122:O122"/>
    <mergeCell ref="H122:I122"/>
    <mergeCell ref="D122:G122"/>
    <mergeCell ref="Q69:R69"/>
    <mergeCell ref="S69:T69"/>
    <mergeCell ref="G70:H70"/>
    <mergeCell ref="I70:J70"/>
    <mergeCell ref="Q70:R70"/>
    <mergeCell ref="A117:T118"/>
    <mergeCell ref="F112:T115"/>
    <mergeCell ref="M16:N16"/>
    <mergeCell ref="I13:J13"/>
    <mergeCell ref="I14:J14"/>
    <mergeCell ref="I15:J15"/>
    <mergeCell ref="I16:J16"/>
    <mergeCell ref="F15:H15"/>
    <mergeCell ref="F16:H16"/>
    <mergeCell ref="G69:H69"/>
    <mergeCell ref="I69:J69"/>
    <mergeCell ref="K69:P69"/>
    <mergeCell ref="F56:T59"/>
    <mergeCell ref="G67:H67"/>
    <mergeCell ref="I67:J67"/>
    <mergeCell ref="Q67:R67"/>
    <mergeCell ref="G68:H68"/>
    <mergeCell ref="I68:J68"/>
    <mergeCell ref="Q68:R68"/>
    <mergeCell ref="S68:T68"/>
    <mergeCell ref="K68:P68"/>
    <mergeCell ref="F1:T4"/>
    <mergeCell ref="A6:T7"/>
    <mergeCell ref="H9:K9"/>
    <mergeCell ref="O9:R9"/>
    <mergeCell ref="A13:E13"/>
    <mergeCell ref="A15:D15"/>
    <mergeCell ref="A16:D16"/>
    <mergeCell ref="K12:L12"/>
    <mergeCell ref="M12:N12"/>
    <mergeCell ref="P12:R12"/>
    <mergeCell ref="K13:L13"/>
    <mergeCell ref="P14:R14"/>
    <mergeCell ref="I12:J12"/>
    <mergeCell ref="F13:H13"/>
    <mergeCell ref="F14:H14"/>
    <mergeCell ref="F12:H12"/>
    <mergeCell ref="A14:D14"/>
    <mergeCell ref="P16:R16"/>
    <mergeCell ref="K14:L14"/>
    <mergeCell ref="K15:L15"/>
    <mergeCell ref="K16:L16"/>
    <mergeCell ref="M13:N13"/>
    <mergeCell ref="M14:N14"/>
    <mergeCell ref="M15:N15"/>
  </mergeCells>
  <dataValidations count="1">
    <dataValidation type="list" allowBlank="1" showInputMessage="1" showErrorMessage="1" sqref="H35 J35:K35" xr:uid="{00000000-0002-0000-1600-000000000000}">
      <formula1>$B$61:$B$75</formula1>
    </dataValidation>
  </dataValidations>
  <hyperlinks>
    <hyperlink ref="A11" location="Glossaire!A88" display="Conditions d'emploi en 2013" xr:uid="{00000000-0004-0000-1600-000000000000}"/>
    <hyperlink ref="A66:M66" location="Glossaire!A90" display="Répartition des projets de recrutement par bassin d'emploi en 2016" xr:uid="{00000000-0004-0000-1600-000001000000}"/>
    <hyperlink ref="A119:E119" location="Glossaire!A106" display="Offres d'emploi des cadres (Nombre moyen d'offres hebdomadaires pour 100 000 actifs)" xr:uid="{00000000-0004-0000-1600-000002000000}"/>
    <hyperlink ref="A175:F175" location="Glossaire!A111" display="Taux de chômage trimestriel" xr:uid="{00000000-0004-0000-1600-000003000000}"/>
    <hyperlink ref="A11:E11" location="Glossaire!A84" display="Conditions d'emploi en 2013" xr:uid="{00000000-0004-0000-1600-000004000000}"/>
    <hyperlink ref="A97:K97" location="Glossaire!A97" display="Déclarations préalables à l'embauche au 4e trimestre 2016" xr:uid="{00000000-0004-0000-1600-000005000000}"/>
    <hyperlink ref="A35:M35" location="Glossaire!A96" display="L'enquête &quot;Besoins en Main d'Œuvre&quot; selon les bassins d'emploi en 2017" xr:uid="{00000000-0004-0000-1600-000006000000}"/>
    <hyperlink ref="A66" location="Glossaire!A94" display="Répartition des projets de recrutements par bassin d'emploi en 2015" xr:uid="{00000000-0004-0000-1600-000007000000}"/>
    <hyperlink ref="A97:J97" location="Glossaire!A101" display="Déclaration préalable à l'embauche au 3e trimestre 2016" xr:uid="{00000000-0004-0000-1600-000008000000}"/>
    <hyperlink ref="A175" location="Glossaire!A107" display="Taux de chômage trimestriel" xr:uid="{00000000-0004-0000-1600-000009000000}"/>
    <hyperlink ref="A11:F11" location="Glossaire!A90" display="Conditions d'emploi en 2014" xr:uid="{00000000-0004-0000-1600-00000A000000}"/>
    <hyperlink ref="A96" location="Glossaire!A113" display="Nombre de demandes d'emploi par secteur d'activité sur Bordeaux Métropole en janvier 2016" xr:uid="{00000000-0004-0000-1600-00000B000000}"/>
    <hyperlink ref="A66:J66" location="Glossaire!A96" display="Principaux métiers recherchés par les entreprises en 2017" xr:uid="{00000000-0004-0000-1600-00000C000000}"/>
    <hyperlink ref="A95:Q96" location="Glossaire!A103" display="Glossaire!A103" xr:uid="{00000000-0004-0000-1600-00000D000000}"/>
    <hyperlink ref="A151:Q151" location="Glossaire!A116" display="Nombre de demandes d'emploi par secteur d'activité sur Bordeaux Métropole en juin 2017" xr:uid="{00000000-0004-0000-1600-00000E000000}"/>
    <hyperlink ref="A96:I96" location="Glossaire!A105" display="Évolution des déclarations préalables à l'embauche" xr:uid="{00000000-0004-0000-1600-00000F000000}"/>
    <hyperlink ref="A119:O119" location="Glossaire!A107" display="Offres d'emploi des cadres (Nombre moyen d'offres hebdomadaires pour 100 000 actifs)" xr:uid="{00000000-0004-0000-1600-000010000000}"/>
    <hyperlink ref="A119:P119" location="Glossaire!A108" display="Offres d'emploi des cadres (Nombre moyen d'offres hebdomadaires pour 100 000 actifs)" xr:uid="{00000000-0004-0000-1600-000011000000}"/>
    <hyperlink ref="A209:M209" location="Glossaire!A116" display="Demandeurs d'emploi en fin de mois, selon l'ancienneté d'inscription" xr:uid="{00000000-0004-0000-1600-000012000000}"/>
    <hyperlink ref="A196:L196" location="Glossaire!A116" display="Demandeurs d'emploi en fin de mois, selon l'âge du demandeur" xr:uid="{00000000-0004-0000-1600-000013000000}"/>
  </hyperlink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avril 2018</oddHeader>
    <oddFooter>&amp;C&amp;"-,Italique"&amp;8&amp;A&amp;R&amp;8Page &amp;P</oddFooter>
  </headerFooter>
  <rowBreaks count="3" manualBreakCount="3">
    <brk id="55" max="16383" man="1"/>
    <brk id="111" max="16383" man="1"/>
    <brk id="166"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1000000}">
          <x14:formula1>
            <xm:f>'D_Ch2-2'!$B$61:$B$75</xm:f>
          </x14:formula1>
          <xm:sqref>P64:S64 H64:K64</xm:sqref>
        </x14:dataValidation>
        <x14:dataValidation type="list" allowBlank="1" showInputMessage="1" showErrorMessage="1" xr:uid="{00000000-0002-0000-1600-000002000000}">
          <x14:formula1>
            <xm:f>'D_Ch-2-1'!$B$6:$B$40</xm:f>
          </x14:formula1>
          <xm:sqref>H9:K9 O9:R9</xm:sqref>
        </x14:dataValidation>
        <x14:dataValidation type="list" allowBlank="1" showInputMessage="1" showErrorMessage="1" xr:uid="{00000000-0002-0000-1600-000003000000}">
          <x14:formula1>
            <xm:f>'D_Ch2-2'!$B$7:$B$22</xm:f>
          </x14:formula1>
          <xm:sqref>N176 L177 Q177 R176:T176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VC63"/>
  <sheetViews>
    <sheetView showGridLines="0" showRowColHeaders="0" showRuler="0" view="pageLayout" zoomScale="98" zoomScaleNormal="100" zoomScaleSheetLayoutView="106" zoomScalePageLayoutView="98" workbookViewId="0">
      <selection activeCell="A17" sqref="A17:H18"/>
    </sheetView>
  </sheetViews>
  <sheetFormatPr baseColWidth="10" defaultColWidth="0" defaultRowHeight="15" zeroHeight="1"/>
  <cols>
    <col min="1" max="1" width="3.5703125" customWidth="1"/>
    <col min="2" max="2" width="3" customWidth="1"/>
    <col min="3" max="3" width="4.85546875" customWidth="1"/>
    <col min="4" max="4" width="3" customWidth="1"/>
    <col min="5" max="5" width="4.85546875" customWidth="1"/>
    <col min="6" max="6" width="3" customWidth="1"/>
    <col min="7" max="7" width="4.85546875" customWidth="1"/>
    <col min="8" max="8" width="3.28515625" customWidth="1"/>
    <col min="9" max="19" width="4.85546875" customWidth="1"/>
    <col min="20" max="20" width="3.5703125" customWidth="1"/>
    <col min="21" max="21" width="11.42578125" customWidth="1"/>
    <col min="22" max="29" width="11.42578125" style="224" hidden="1" customWidth="1"/>
    <col min="30" max="30" width="11.42578125" hidden="1" customWidth="1"/>
    <col min="31" max="16384" width="11.42578125" hidden="1"/>
  </cols>
  <sheetData>
    <row r="1" spans="1:16123" ht="16.7" customHeight="1">
      <c r="A1" s="665"/>
      <c r="B1" s="6"/>
      <c r="C1" s="7"/>
      <c r="D1" s="7"/>
      <c r="E1" s="7"/>
      <c r="F1" s="1105" t="s">
        <v>1039</v>
      </c>
      <c r="G1" s="1105"/>
      <c r="H1" s="1105"/>
      <c r="I1" s="1105"/>
      <c r="J1" s="1105"/>
      <c r="K1" s="1105"/>
      <c r="L1" s="1105"/>
      <c r="M1" s="1105"/>
      <c r="N1" s="1105"/>
      <c r="O1" s="1105"/>
      <c r="P1" s="1105"/>
      <c r="Q1" s="1105"/>
      <c r="R1" s="1105"/>
      <c r="S1" s="1105"/>
      <c r="T1" s="1105"/>
      <c r="V1"/>
      <c r="W1"/>
      <c r="X1"/>
      <c r="Y1"/>
      <c r="Z1"/>
      <c r="AA1"/>
      <c r="AB1"/>
      <c r="AC1"/>
    </row>
    <row r="2" spans="1:16123" ht="16.7" customHeight="1">
      <c r="A2" s="666"/>
      <c r="B2" s="7"/>
      <c r="C2" s="7"/>
      <c r="D2" s="7"/>
      <c r="E2" s="7"/>
      <c r="F2" s="1105"/>
      <c r="G2" s="1105"/>
      <c r="H2" s="1105"/>
      <c r="I2" s="1105"/>
      <c r="J2" s="1105"/>
      <c r="K2" s="1105"/>
      <c r="L2" s="1105"/>
      <c r="M2" s="1105"/>
      <c r="N2" s="1105"/>
      <c r="O2" s="1105"/>
      <c r="P2" s="1105"/>
      <c r="Q2" s="1105"/>
      <c r="R2" s="1105"/>
      <c r="S2" s="1105"/>
      <c r="T2" s="1105"/>
      <c r="V2"/>
      <c r="W2"/>
      <c r="X2"/>
      <c r="Y2"/>
      <c r="Z2"/>
      <c r="AA2"/>
      <c r="AB2"/>
      <c r="AC2"/>
    </row>
    <row r="3" spans="1:16123" ht="16.7" customHeight="1">
      <c r="A3" s="667"/>
      <c r="B3" s="7"/>
      <c r="C3" s="7"/>
      <c r="D3" s="7"/>
      <c r="E3" s="7"/>
      <c r="F3" s="1105"/>
      <c r="G3" s="1105"/>
      <c r="H3" s="1105"/>
      <c r="I3" s="1105"/>
      <c r="J3" s="1105"/>
      <c r="K3" s="1105"/>
      <c r="L3" s="1105"/>
      <c r="M3" s="1105"/>
      <c r="N3" s="1105"/>
      <c r="O3" s="1105"/>
      <c r="P3" s="1105"/>
      <c r="Q3" s="1105"/>
      <c r="R3" s="1105"/>
      <c r="S3" s="1105"/>
      <c r="T3" s="1105"/>
      <c r="V3"/>
      <c r="W3"/>
      <c r="X3"/>
      <c r="Y3"/>
      <c r="Z3"/>
      <c r="AA3"/>
      <c r="AB3"/>
      <c r="AC3"/>
    </row>
    <row r="4" spans="1:16123" ht="16.7" customHeight="1">
      <c r="A4" s="667"/>
      <c r="B4" s="7"/>
      <c r="C4" s="7"/>
      <c r="D4" s="7"/>
      <c r="E4" s="7"/>
      <c r="F4" s="1105"/>
      <c r="G4" s="1105"/>
      <c r="H4" s="1105"/>
      <c r="I4" s="1105"/>
      <c r="J4" s="1105"/>
      <c r="K4" s="1105"/>
      <c r="L4" s="1105"/>
      <c r="M4" s="1105"/>
      <c r="N4" s="1105"/>
      <c r="O4" s="1105"/>
      <c r="P4" s="1105"/>
      <c r="Q4" s="1105"/>
      <c r="R4" s="1105"/>
      <c r="S4" s="1105"/>
      <c r="T4" s="1105"/>
      <c r="V4"/>
      <c r="W4"/>
      <c r="X4"/>
      <c r="Y4"/>
      <c r="Z4"/>
      <c r="AA4"/>
      <c r="AB4"/>
      <c r="AC4"/>
    </row>
    <row r="5" spans="1:16123" ht="5.25" customHeight="1">
      <c r="V5"/>
      <c r="W5"/>
      <c r="X5"/>
      <c r="Y5"/>
      <c r="Z5"/>
      <c r="AA5"/>
      <c r="AB5"/>
      <c r="AC5"/>
    </row>
    <row r="6" spans="1:16123" ht="15" customHeight="1">
      <c r="A6" s="1102" t="s">
        <v>0</v>
      </c>
      <c r="B6" s="1102"/>
      <c r="C6" s="1102"/>
      <c r="D6" s="1102"/>
      <c r="E6" s="1102"/>
      <c r="F6" s="1102"/>
      <c r="G6" s="1102"/>
      <c r="H6" s="1102"/>
      <c r="I6" s="1102"/>
      <c r="J6" s="1102"/>
      <c r="K6" s="1102"/>
      <c r="L6" s="1102"/>
      <c r="M6" s="1102"/>
      <c r="N6" s="1102"/>
      <c r="O6" s="1102"/>
      <c r="P6" s="1102"/>
      <c r="Q6" s="1102"/>
      <c r="R6" s="1102"/>
      <c r="S6" s="1102"/>
      <c r="T6" s="1102"/>
      <c r="V6"/>
      <c r="W6"/>
      <c r="X6"/>
      <c r="Y6"/>
      <c r="Z6"/>
      <c r="AA6"/>
      <c r="AB6"/>
      <c r="AC6"/>
    </row>
    <row r="7" spans="1:16123" ht="15" customHeight="1">
      <c r="A7" s="1102"/>
      <c r="B7" s="1102"/>
      <c r="C7" s="1102"/>
      <c r="D7" s="1102"/>
      <c r="E7" s="1102"/>
      <c r="F7" s="1102"/>
      <c r="G7" s="1102"/>
      <c r="H7" s="1102"/>
      <c r="I7" s="1102"/>
      <c r="J7" s="1102"/>
      <c r="K7" s="1102"/>
      <c r="L7" s="1102"/>
      <c r="M7" s="1102"/>
      <c r="N7" s="1102"/>
      <c r="O7" s="1102"/>
      <c r="P7" s="1102"/>
      <c r="Q7" s="1102"/>
      <c r="R7" s="1102"/>
      <c r="S7" s="1102"/>
      <c r="T7" s="1102"/>
      <c r="V7"/>
      <c r="W7"/>
      <c r="X7"/>
      <c r="Y7"/>
      <c r="Z7"/>
      <c r="AA7"/>
      <c r="AB7"/>
      <c r="AC7"/>
    </row>
    <row r="8" spans="1:16123" s="163" customFormat="1" ht="15" customHeight="1">
      <c r="A8" s="401"/>
      <c r="B8" s="401"/>
      <c r="C8" s="401"/>
      <c r="D8" s="401"/>
      <c r="E8" s="401"/>
      <c r="F8" s="401"/>
      <c r="G8" s="401"/>
      <c r="H8" s="401"/>
      <c r="I8" s="401"/>
      <c r="J8" s="401"/>
      <c r="K8" s="401"/>
      <c r="L8" s="401"/>
      <c r="M8" s="401"/>
      <c r="N8" s="401"/>
      <c r="O8" s="401"/>
      <c r="P8" s="401"/>
      <c r="Q8" s="401"/>
      <c r="R8" s="401"/>
      <c r="S8" s="401"/>
      <c r="T8" s="401"/>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row>
    <row r="9" spans="1:16123" ht="15" customHeight="1" thickBot="1">
      <c r="A9" s="401"/>
      <c r="B9" s="401"/>
      <c r="C9" s="401"/>
      <c r="D9" s="401"/>
      <c r="E9" s="401"/>
      <c r="F9" s="401"/>
      <c r="G9" s="401"/>
      <c r="H9" s="401"/>
      <c r="I9" s="401"/>
      <c r="J9" s="401"/>
      <c r="K9" s="401"/>
      <c r="L9" s="401"/>
      <c r="M9" s="401"/>
      <c r="N9" s="401"/>
      <c r="O9" s="401"/>
      <c r="P9" s="401"/>
      <c r="Q9" s="401"/>
      <c r="R9" s="401"/>
      <c r="S9" s="401"/>
      <c r="T9" s="401"/>
      <c r="V9"/>
      <c r="W9"/>
      <c r="X9"/>
      <c r="Y9"/>
      <c r="Z9"/>
      <c r="AA9"/>
      <c r="AB9"/>
      <c r="AC9"/>
    </row>
    <row r="10" spans="1:16123" ht="16.5" thickTop="1" thickBot="1">
      <c r="A10" s="1247" t="s">
        <v>1077</v>
      </c>
      <c r="B10" s="1248"/>
      <c r="C10" s="1248"/>
      <c r="D10" s="1249"/>
      <c r="E10" s="325"/>
      <c r="F10" s="325"/>
      <c r="G10" s="325"/>
      <c r="H10" s="325"/>
      <c r="I10" s="994" t="s">
        <v>74</v>
      </c>
      <c r="J10" s="995"/>
      <c r="K10" s="995"/>
      <c r="L10" s="996"/>
      <c r="M10" s="553"/>
      <c r="N10" s="552"/>
      <c r="O10" s="1244" t="s">
        <v>114</v>
      </c>
      <c r="P10" s="1245"/>
      <c r="Q10" s="1245"/>
      <c r="R10" s="1246"/>
      <c r="S10" s="325"/>
      <c r="T10" s="402"/>
      <c r="V10"/>
      <c r="W10"/>
      <c r="X10"/>
      <c r="Y10"/>
      <c r="Z10"/>
      <c r="AA10"/>
      <c r="AB10"/>
      <c r="AC10"/>
    </row>
    <row r="11" spans="1:16123" ht="15.75" thickTop="1">
      <c r="A11" s="403"/>
      <c r="B11" s="403"/>
      <c r="C11" s="403"/>
      <c r="D11" s="403"/>
      <c r="E11" s="403"/>
      <c r="F11" s="403"/>
      <c r="G11" s="403"/>
      <c r="H11" s="403"/>
      <c r="I11" s="1232"/>
      <c r="J11" s="1232"/>
      <c r="K11" s="1232"/>
      <c r="L11" s="403"/>
      <c r="M11" s="403"/>
      <c r="N11" s="403"/>
      <c r="O11" s="403"/>
      <c r="P11" s="403"/>
      <c r="Q11" s="403"/>
      <c r="R11" s="403"/>
      <c r="S11" s="403"/>
      <c r="T11" s="403"/>
      <c r="V11"/>
      <c r="W11"/>
      <c r="X11"/>
      <c r="Y11"/>
      <c r="Z11"/>
      <c r="AA11"/>
      <c r="AB11"/>
      <c r="AC11"/>
    </row>
    <row r="12" spans="1:16123">
      <c r="A12" s="858" t="s">
        <v>1713</v>
      </c>
      <c r="B12" s="858"/>
      <c r="C12" s="858"/>
      <c r="D12" s="858"/>
      <c r="E12" s="858"/>
      <c r="F12" s="858"/>
      <c r="G12" s="857"/>
      <c r="H12" s="889"/>
      <c r="I12" s="1231">
        <f>(VLOOKUP($I$10,'D_Ch-1'!$B$4:$Y$39,MATCH("Population N-1",'D_Ch-1'!$4:$4,0)-1,FALSE))</f>
        <v>3343326</v>
      </c>
      <c r="J12" s="1231"/>
      <c r="K12" s="1231"/>
      <c r="L12" s="1243">
        <f>VLOOKUP($I$10,'D_Ch-1'!$B$4:$Y$39,MATCH("Croissance",'D_Ch-1'!$4:$4,0)-1,FALSE)</f>
        <v>137189</v>
      </c>
      <c r="M12" s="1243"/>
      <c r="N12" s="1243"/>
      <c r="O12" s="1232">
        <f>VLOOKUP($O$10,'D_Ch-1'!$B$4:$Y$39,MATCH("Population N-1",'D_Ch-1'!$4:4,0)-1,FALSE)</f>
        <v>1526016</v>
      </c>
      <c r="P12" s="1232"/>
      <c r="Q12" s="1232"/>
      <c r="R12" s="1243">
        <f>(VLOOKUP($O$10,'D_Ch-1'!$B$4:$Y$39,MATCH("Population N-1",'D_Ch-1'!$4:$4,0)-1,FALSE))-(VLOOKUP($O$10,'D_Ch-1'!$B$4:$Y$39,MATCH("Population N-2",'D_Ch-1'!$4:$4,0)-1,FALSE))</f>
        <v>91355</v>
      </c>
      <c r="S12" s="1243"/>
      <c r="T12" s="1243"/>
      <c r="V12"/>
      <c r="W12"/>
      <c r="X12"/>
      <c r="Y12"/>
      <c r="Z12"/>
      <c r="AA12"/>
      <c r="AB12"/>
      <c r="AC12"/>
    </row>
    <row r="13" spans="1:16123">
      <c r="A13" s="858" t="s">
        <v>1098</v>
      </c>
      <c r="B13" s="858"/>
      <c r="C13" s="858"/>
      <c r="D13" s="858"/>
      <c r="E13" s="858"/>
      <c r="F13" s="858"/>
      <c r="G13" s="844"/>
      <c r="H13" s="889"/>
      <c r="I13" s="1242">
        <f>(VLOOKUP($I$10,'D_Ch-1'!$B$4:$Y$39,MATCH("Tx évol moyen annuel",'D_Ch-1'!$4:$4,0)-1,FALSE))</f>
        <v>8.4150762118825693E-3</v>
      </c>
      <c r="J13" s="1242"/>
      <c r="K13" s="1242"/>
      <c r="L13" s="403"/>
      <c r="M13" s="403"/>
      <c r="N13" s="403"/>
      <c r="O13" s="1242">
        <f>(VLOOKUP($O$10,'D_Ch-1'!$B$4:$Y$39,MATCH("Tx évol moyen annuel",'D_Ch-1'!$4:$4,0)-1,FALSE))</f>
        <v>1.2422897693864709E-2</v>
      </c>
      <c r="P13" s="1242"/>
      <c r="Q13" s="1242"/>
      <c r="R13" s="403"/>
      <c r="S13" s="403"/>
      <c r="T13" s="403"/>
      <c r="V13"/>
      <c r="W13"/>
      <c r="X13"/>
      <c r="Y13"/>
      <c r="Z13"/>
      <c r="AA13"/>
      <c r="AB13"/>
      <c r="AC13"/>
    </row>
    <row r="14" spans="1:16123">
      <c r="A14" s="1236" t="s">
        <v>1266</v>
      </c>
      <c r="B14" s="1236"/>
      <c r="C14" s="1236"/>
      <c r="D14" s="1236"/>
      <c r="E14" s="1236"/>
      <c r="F14" s="1236"/>
      <c r="G14" s="889"/>
      <c r="H14" s="889"/>
      <c r="I14" s="1231">
        <f>VLOOKUP($I$10,'D_Ch-1'!$B$4:$Y$39,MATCH("Superficie",'D_Ch-1'!$4:$4,0)-1,FALSE)</f>
        <v>41283.870000000032</v>
      </c>
      <c r="J14" s="1231"/>
      <c r="K14" s="1231"/>
      <c r="L14" s="403"/>
      <c r="M14" s="403"/>
      <c r="N14" s="403"/>
      <c r="O14" s="1232">
        <f>VLOOKUP($O$10,'D_Ch-1'!$B$4:$Y$39,MATCH("Superficie",'D_Ch-1'!$4:$4,0)-1,FALSE)</f>
        <v>10000</v>
      </c>
      <c r="P14" s="1232"/>
      <c r="Q14" s="1232"/>
      <c r="R14" s="403"/>
      <c r="S14" s="403"/>
      <c r="T14" s="403"/>
      <c r="V14"/>
      <c r="W14"/>
      <c r="X14"/>
      <c r="Y14"/>
      <c r="Z14"/>
      <c r="AA14"/>
      <c r="AB14"/>
      <c r="AC14"/>
    </row>
    <row r="15" spans="1:16123">
      <c r="A15" s="1236" t="s">
        <v>1243</v>
      </c>
      <c r="B15" s="1236"/>
      <c r="C15" s="1236"/>
      <c r="D15" s="1236"/>
      <c r="E15" s="1236"/>
      <c r="F15" s="1236"/>
      <c r="G15" s="889"/>
      <c r="H15" s="889"/>
      <c r="I15" s="1231">
        <f>VALUE(I12)/VALUE(I14)</f>
        <v>80.983832184337302</v>
      </c>
      <c r="J15" s="1231"/>
      <c r="K15" s="1231"/>
      <c r="L15" s="403"/>
      <c r="M15" s="404"/>
      <c r="N15" s="403"/>
      <c r="O15" s="1232">
        <f>VALUE(O12)/VALUE(O14)</f>
        <v>152.60159999999999</v>
      </c>
      <c r="P15" s="1232"/>
      <c r="Q15" s="1232"/>
      <c r="R15" s="403"/>
      <c r="S15" s="403"/>
      <c r="T15" s="403"/>
      <c r="V15"/>
      <c r="W15"/>
      <c r="X15"/>
      <c r="Y15"/>
      <c r="Z15"/>
      <c r="AA15"/>
      <c r="AB15"/>
      <c r="AC15"/>
    </row>
    <row r="16" spans="1:16123">
      <c r="A16" s="857"/>
      <c r="B16" s="857"/>
      <c r="C16" s="857"/>
      <c r="D16" s="857"/>
      <c r="E16" s="857"/>
      <c r="F16" s="857"/>
      <c r="G16" s="889"/>
      <c r="H16" s="889"/>
      <c r="I16" s="563"/>
      <c r="J16" s="563"/>
      <c r="K16" s="563"/>
      <c r="L16" s="403"/>
      <c r="M16" s="403"/>
      <c r="N16" s="403"/>
      <c r="O16" s="403"/>
      <c r="P16" s="403"/>
      <c r="Q16" s="403"/>
      <c r="R16" s="403"/>
      <c r="S16" s="403"/>
      <c r="T16" s="403"/>
      <c r="V16"/>
      <c r="W16"/>
      <c r="X16"/>
      <c r="Y16"/>
      <c r="Z16"/>
      <c r="AA16"/>
      <c r="AB16"/>
      <c r="AC16"/>
    </row>
    <row r="17" spans="1:29" ht="15" customHeight="1">
      <c r="A17" s="1238" t="s">
        <v>1785</v>
      </c>
      <c r="B17" s="1238"/>
      <c r="C17" s="1238"/>
      <c r="D17" s="1238"/>
      <c r="E17" s="1238"/>
      <c r="F17" s="1238"/>
      <c r="G17" s="1238"/>
      <c r="H17" s="1238"/>
      <c r="I17" s="563"/>
      <c r="J17" s="563"/>
      <c r="K17" s="563"/>
      <c r="L17" s="403"/>
      <c r="M17" s="403"/>
      <c r="N17" s="403"/>
      <c r="O17" s="403"/>
      <c r="P17" s="403"/>
      <c r="Q17" s="403"/>
      <c r="R17" s="403"/>
      <c r="S17" s="403"/>
      <c r="T17" s="403"/>
      <c r="V17"/>
      <c r="W17"/>
      <c r="X17"/>
      <c r="Y17"/>
      <c r="Z17"/>
      <c r="AA17"/>
      <c r="AB17"/>
      <c r="AC17"/>
    </row>
    <row r="18" spans="1:29" ht="19.5" customHeight="1">
      <c r="A18" s="1238"/>
      <c r="B18" s="1238"/>
      <c r="C18" s="1238"/>
      <c r="D18" s="1238"/>
      <c r="E18" s="1238"/>
      <c r="F18" s="1238"/>
      <c r="G18" s="1238"/>
      <c r="H18" s="1238"/>
      <c r="I18" s="1240" t="str">
        <f>(VLOOKUP($I$10,'D_Ch-1'!$B$4:$Y$39,MATCH("Revenu médian UC N-1",'D_Ch-1'!$4:$4,0)-1,FALSE))</f>
        <v>nc</v>
      </c>
      <c r="J18" s="1240"/>
      <c r="K18" s="1240"/>
      <c r="L18" s="1237" t="e">
        <f>((VLOOKUP($I$10,'D_Ch-1'!$B$4:$Y$39,MATCH("Revenu médian UC N-1",'D_Ch-1'!$4:$4,0)-1,FALSE))-(VLOOKUP($I$10,'D_Ch-1'!$B$4:$Y$39,MATCH("Revenu médian UC N-2",'D_Ch-1'!$4:$4,0)-1,FALSE)))/(VLOOKUP($I$10,'D_Ch-1'!$B$4:$Y$39,MATCH("Revenu médian UC N-2",'D_Ch-1'!$4:$4,0)-1,FALSE))</f>
        <v>#VALUE!</v>
      </c>
      <c r="M18" s="1237"/>
      <c r="N18" s="1237"/>
      <c r="O18" s="1241">
        <f>VLOOKUP($O$10,'D_Ch-1'!$B$4:$Y$39,MATCH("Revenu médian UC N-1",'D_Ch-1'!$4:$4,0)-1,FALSE)</f>
        <v>21038</v>
      </c>
      <c r="P18" s="1241"/>
      <c r="Q18" s="1241"/>
      <c r="R18" s="1239">
        <f>((VLOOKUP($O$10,'D_Ch-1'!$B$4:$Y$39,MATCH("Revenu médian UC N-1",'D_Ch-1'!$4:$4,0)-1,FALSE))-(VLOOKUP($O$10,'D_Ch-1'!$B$4:$Y$39,MATCH("Revenu médian UC N-2",'D_Ch-1'!$4:$4,0)-1,FALSE)))/(VLOOKUP($O$10,'D_Ch-1'!$B$4:$Y$39,MATCH("Revenu médian UC N-2",'D_Ch-1'!$4:$4,0)-1,FALSE))</f>
        <v>1.0373643261934492E-2</v>
      </c>
      <c r="S18" s="1239"/>
      <c r="T18" s="1239"/>
      <c r="V18"/>
      <c r="W18"/>
      <c r="X18"/>
      <c r="Y18"/>
      <c r="Z18"/>
      <c r="AA18"/>
      <c r="AB18"/>
      <c r="AC18"/>
    </row>
    <row r="19" spans="1:29">
      <c r="A19" s="857"/>
      <c r="B19" s="857"/>
      <c r="C19" s="857"/>
      <c r="D19" s="857"/>
      <c r="E19" s="857"/>
      <c r="F19" s="857"/>
      <c r="G19" s="889"/>
      <c r="H19" s="889"/>
      <c r="I19" s="563"/>
      <c r="J19" s="563"/>
      <c r="K19" s="563"/>
      <c r="L19" s="403"/>
      <c r="M19" s="403"/>
      <c r="N19" s="403"/>
      <c r="O19" s="403"/>
      <c r="P19" s="403"/>
      <c r="Q19" s="403"/>
      <c r="R19" s="403"/>
      <c r="S19" s="403"/>
      <c r="T19" s="403"/>
      <c r="V19"/>
      <c r="W19"/>
      <c r="X19"/>
      <c r="Y19"/>
      <c r="Z19"/>
      <c r="AA19"/>
      <c r="AB19"/>
      <c r="AC19"/>
    </row>
    <row r="20" spans="1:29" ht="15" customHeight="1">
      <c r="A20" s="1235" t="s">
        <v>1323</v>
      </c>
      <c r="B20" s="1235"/>
      <c r="C20" s="1235"/>
      <c r="D20" s="1235"/>
      <c r="E20" s="1235"/>
      <c r="F20" s="857"/>
      <c r="G20" s="1236"/>
      <c r="H20" s="1236"/>
      <c r="I20" s="1231">
        <f>(VLOOKUP($I$10,'D_Ch-1'!$B$4:$Y$39,MATCH("Actif 15-64 ans",'D_Ch-1'!$4:$4,0)-1,FALSE))</f>
        <v>1533288.8862898443</v>
      </c>
      <c r="J20" s="1231"/>
      <c r="K20" s="1231"/>
      <c r="L20" s="403"/>
      <c r="M20" s="403"/>
      <c r="N20" s="403"/>
      <c r="O20" s="1232">
        <f>VLOOKUP($O$10,'D_Ch-1'!$B$4:$Y$39,MATCH("Actif 15-64 ans",'D_Ch-1'!$4:$4,0)-1,FALSE)</f>
        <v>727865.7851427627</v>
      </c>
      <c r="P20" s="1232"/>
      <c r="Q20" s="1232"/>
      <c r="R20" s="403"/>
      <c r="S20" s="403"/>
      <c r="T20" s="403"/>
      <c r="V20"/>
      <c r="W20"/>
      <c r="X20"/>
      <c r="Y20"/>
      <c r="Z20"/>
      <c r="AA20"/>
      <c r="AB20"/>
      <c r="AC20"/>
    </row>
    <row r="21" spans="1:29" ht="15" customHeight="1">
      <c r="A21" s="1235" t="s">
        <v>1680</v>
      </c>
      <c r="B21" s="1235"/>
      <c r="C21" s="1235"/>
      <c r="D21" s="1235"/>
      <c r="E21" s="1235"/>
      <c r="F21" s="857"/>
      <c r="G21" s="889"/>
      <c r="H21" s="889"/>
      <c r="I21" s="563"/>
      <c r="J21" s="1233">
        <f>(VLOOKUP($I$10,'D_Ch-1'!$B$4:$Y$39,MATCH("Actif 15-64 ans",'D_Ch-1'!$4:$4,0)-1,FALSE))/(VLOOKUP($I$10,'D_Ch-1'!$B$4:$Y$39,MATCH("Pop 15 - 64 ans",'D_Ch-1'!$4:$4,0)-1,FALSE))</f>
        <v>0.73391298004021943</v>
      </c>
      <c r="K21" s="1233"/>
      <c r="L21" s="403"/>
      <c r="M21" s="403"/>
      <c r="N21" s="403"/>
      <c r="O21" s="403"/>
      <c r="P21" s="1234">
        <f>(VLOOKUP($O$10,'D_Ch-1'!$B$4:$Y$39,MATCH("Actif 15-64 ans",'D_Ch-1'!$4:$4,0)-1,FALSE))/(VLOOKUP($O$10,'D_Ch-1'!$B$4:$Y$39,MATCH("Pop 15 - 64 ans",'D_Ch-1'!$4:$4,0)-1,FALSE))</f>
        <v>0.73399009996300291</v>
      </c>
      <c r="Q21" s="1234"/>
      <c r="R21" s="403"/>
      <c r="S21" s="403"/>
      <c r="T21" s="403"/>
      <c r="V21"/>
      <c r="W21"/>
      <c r="X21"/>
      <c r="Y21"/>
      <c r="Z21"/>
      <c r="AA21"/>
      <c r="AB21"/>
      <c r="AC21"/>
    </row>
    <row r="22" spans="1:29">
      <c r="A22" s="403"/>
      <c r="B22" s="403"/>
      <c r="C22" s="403"/>
      <c r="D22" s="403"/>
      <c r="E22" s="403"/>
      <c r="F22" s="403"/>
      <c r="G22" s="403"/>
      <c r="H22" s="403"/>
      <c r="I22" s="563"/>
      <c r="J22" s="563"/>
      <c r="K22" s="563"/>
      <c r="L22" s="403"/>
      <c r="M22" s="403"/>
      <c r="N22" s="403"/>
      <c r="O22" s="403"/>
      <c r="P22" s="403"/>
      <c r="Q22" s="403"/>
      <c r="R22" s="403"/>
      <c r="S22" s="403"/>
      <c r="T22" s="403"/>
      <c r="V22"/>
      <c r="W22"/>
      <c r="X22"/>
      <c r="Y22"/>
      <c r="Z22"/>
      <c r="AA22"/>
      <c r="AB22"/>
      <c r="AC22"/>
    </row>
    <row r="23" spans="1:29">
      <c r="A23" s="403"/>
      <c r="B23" s="403"/>
      <c r="C23" s="403"/>
      <c r="D23" s="403"/>
      <c r="E23" s="403"/>
      <c r="F23" s="403"/>
      <c r="G23" s="403"/>
      <c r="H23" s="403"/>
      <c r="I23" s="403"/>
      <c r="J23" s="403"/>
      <c r="K23" s="403"/>
      <c r="L23" s="403"/>
      <c r="M23" s="403"/>
      <c r="N23" s="403"/>
      <c r="O23" s="403"/>
      <c r="P23" s="403"/>
      <c r="Q23" s="403"/>
      <c r="R23" s="403"/>
      <c r="S23" s="403"/>
      <c r="T23" s="403"/>
      <c r="V23"/>
      <c r="W23"/>
      <c r="X23"/>
      <c r="Y23"/>
      <c r="Z23"/>
      <c r="AA23"/>
      <c r="AB23"/>
      <c r="AC23"/>
    </row>
    <row r="24" spans="1:29">
      <c r="A24" s="403"/>
      <c r="B24" s="403"/>
      <c r="C24" s="403"/>
      <c r="D24" s="403"/>
      <c r="E24" s="403"/>
      <c r="F24" s="403"/>
      <c r="G24" s="403"/>
      <c r="H24" s="403"/>
      <c r="I24" s="403"/>
      <c r="J24" s="403"/>
      <c r="K24" s="403"/>
      <c r="L24" s="403"/>
      <c r="M24" s="403"/>
      <c r="N24" s="403"/>
      <c r="O24" s="403"/>
      <c r="P24" s="403"/>
      <c r="Q24" s="403"/>
      <c r="R24" s="403"/>
      <c r="S24" s="403"/>
      <c r="T24" s="403"/>
      <c r="V24"/>
      <c r="W24"/>
      <c r="X24"/>
      <c r="Y24"/>
      <c r="Z24"/>
      <c r="AA24"/>
      <c r="AB24"/>
      <c r="AC24"/>
    </row>
    <row r="25" spans="1:29">
      <c r="A25" s="861" t="s">
        <v>1681</v>
      </c>
      <c r="B25" s="861"/>
      <c r="C25" s="861"/>
      <c r="D25" s="861"/>
      <c r="E25" s="861"/>
      <c r="F25" s="861"/>
      <c r="G25" s="861"/>
      <c r="H25" s="861"/>
      <c r="I25" s="859"/>
      <c r="J25" s="403"/>
      <c r="K25" s="403"/>
      <c r="L25" s="403"/>
      <c r="M25" s="403"/>
      <c r="N25" s="403"/>
      <c r="O25" s="403"/>
      <c r="P25" s="403"/>
      <c r="Q25" s="403"/>
      <c r="R25" s="403"/>
      <c r="S25" s="403"/>
      <c r="T25" s="403"/>
      <c r="V25"/>
      <c r="W25"/>
      <c r="X25"/>
      <c r="Y25"/>
      <c r="Z25"/>
      <c r="AA25"/>
      <c r="AB25"/>
      <c r="AC25"/>
    </row>
    <row r="26" spans="1:29">
      <c r="A26" s="859"/>
      <c r="B26" s="845"/>
      <c r="C26" s="845"/>
      <c r="D26" s="845"/>
      <c r="E26" s="845"/>
      <c r="F26" s="845"/>
      <c r="G26" s="845"/>
      <c r="H26" s="845"/>
      <c r="I26" s="845"/>
      <c r="J26" s="403"/>
      <c r="K26" s="403"/>
      <c r="L26" s="403"/>
      <c r="M26" s="403"/>
      <c r="N26" s="403"/>
      <c r="O26" s="403"/>
      <c r="P26" s="403"/>
      <c r="Q26" s="403"/>
      <c r="R26" s="403"/>
      <c r="S26" s="403"/>
      <c r="T26" s="403"/>
      <c r="V26"/>
      <c r="W26"/>
      <c r="X26"/>
      <c r="Y26"/>
      <c r="Z26"/>
      <c r="AA26"/>
      <c r="AB26"/>
      <c r="AC26"/>
    </row>
    <row r="27" spans="1:29">
      <c r="A27" s="840"/>
      <c r="B27" s="407"/>
      <c r="C27" s="407" t="str">
        <f>I10</f>
        <v>Aquitaine</v>
      </c>
      <c r="D27" s="407"/>
      <c r="E27" s="407" t="str">
        <f>O10</f>
        <v>Gironde</v>
      </c>
      <c r="F27" s="407"/>
      <c r="G27" s="403"/>
      <c r="H27" s="403"/>
      <c r="I27" s="403"/>
      <c r="J27" s="403"/>
      <c r="K27" s="403"/>
      <c r="L27" s="403"/>
      <c r="M27" s="403"/>
      <c r="N27" s="403"/>
      <c r="O27" s="403"/>
      <c r="P27" s="403"/>
      <c r="Q27" s="403"/>
      <c r="R27" s="403"/>
      <c r="S27" s="403"/>
      <c r="T27" s="403"/>
      <c r="V27"/>
      <c r="W27"/>
      <c r="X27"/>
      <c r="Y27"/>
      <c r="Z27"/>
      <c r="AA27"/>
      <c r="AB27"/>
      <c r="AC27"/>
    </row>
    <row r="28" spans="1:29">
      <c r="A28" s="841" t="s">
        <v>585</v>
      </c>
      <c r="B28" s="407"/>
      <c r="C28" s="1228">
        <f>(VLOOKUP($I$10,'D_Ch-1'!$B$4:$Y$39,MATCH("Act occ CS1",'D_Ch-1'!$4:$4,0)-1,FALSE))/(VLOOKUP($I$10,'D_Ch-1'!$B$4:$Y$39,MATCH("Total Occ Actifs LR",'D_Ch-1'!$4:$4,0)-1,FALSE))</f>
        <v>2.3693566387997186E-2</v>
      </c>
      <c r="D28" s="1228"/>
      <c r="E28" s="1228">
        <f>(VLOOKUP($O$10,'D_Ch-1'!$B$4:$Y$39,MATCH("Act occ CS1",'D_Ch-1'!$4:$4,0)-1,FALSE))/(VLOOKUP($O$10,'D_Ch-1'!$B$4:$Y$39,MATCH("Total Occ Actifs LR",'D_Ch-1'!$4:$4,0)-1,FALSE))</f>
        <v>1.1626057649180357E-2</v>
      </c>
      <c r="F28" s="1228"/>
      <c r="G28" s="403"/>
      <c r="H28" s="403"/>
      <c r="I28" s="403"/>
      <c r="J28" s="403"/>
      <c r="K28" s="403"/>
      <c r="L28" s="403"/>
      <c r="M28" s="403"/>
      <c r="N28" s="403"/>
      <c r="O28" s="403"/>
      <c r="P28" s="403"/>
      <c r="Q28" s="403"/>
      <c r="R28" s="403"/>
      <c r="S28" s="403"/>
      <c r="T28" s="403"/>
      <c r="V28"/>
      <c r="W28"/>
      <c r="X28"/>
      <c r="Y28"/>
      <c r="Z28"/>
      <c r="AA28"/>
      <c r="AB28"/>
      <c r="AC28"/>
    </row>
    <row r="29" spans="1:29">
      <c r="A29" s="841" t="s">
        <v>586</v>
      </c>
      <c r="B29" s="407"/>
      <c r="C29" s="1228">
        <f>(VLOOKUP($I$10,'D_Ch-1'!$B$4:$Y$39,MATCH("Act occ CS2",'D_Ch-1'!$4:$4,0)-1,FALSE))/(VLOOKUP($I$10,'D_Ch-1'!$B$4:$Y$39,MATCH("Total Occ Actifs LR",'D_Ch-1'!$4:$4,0)-1,FALSE))</f>
        <v>7.9619250956658907E-2</v>
      </c>
      <c r="D29" s="1228"/>
      <c r="E29" s="1228">
        <f>(VLOOKUP($O$10,'D_Ch-1'!$B$4:$Y$39,MATCH("Act occ CS2",'D_Ch-1'!$4:$4,0)-1,FALSE))/(VLOOKUP($O$10,'D_Ch-1'!$B$4:$Y$39,MATCH("Total Occ Actifs LR",'D_Ch-1'!$4:$4,0)-1,FALSE))</f>
        <v>7.2119822126580052E-2</v>
      </c>
      <c r="F29" s="1228"/>
      <c r="G29" s="403"/>
      <c r="H29" s="403"/>
      <c r="I29" s="403"/>
      <c r="J29" s="403"/>
      <c r="K29" s="403"/>
      <c r="L29" s="403"/>
      <c r="M29" s="403"/>
      <c r="N29" s="403"/>
      <c r="O29" s="403"/>
      <c r="P29" s="403"/>
      <c r="Q29" s="403"/>
      <c r="R29" s="403"/>
      <c r="S29" s="403"/>
      <c r="T29" s="403"/>
      <c r="V29"/>
      <c r="W29"/>
      <c r="X29"/>
      <c r="Y29"/>
      <c r="Z29"/>
      <c r="AA29"/>
      <c r="AB29"/>
      <c r="AC29"/>
    </row>
    <row r="30" spans="1:29">
      <c r="A30" s="841" t="s">
        <v>1264</v>
      </c>
      <c r="B30" s="407"/>
      <c r="C30" s="1230">
        <f>(VLOOKUP($I$10,'D_Ch-1'!$B$4:$Y$39,MATCH("Act occ CS3",'D_Ch-1'!$4:$4,0)-1,FALSE))/(VLOOKUP($I$10,'D_Ch-1'!$B$4:$Y$39,MATCH("Total Occ Actifs LR",'D_Ch-1'!$4:$4,0)-1,FALSE))</f>
        <v>0.14260386236472325</v>
      </c>
      <c r="D30" s="1230"/>
      <c r="E30" s="1228">
        <f>(VLOOKUP($O$10,'D_Ch-1'!$B$4:$Y$39,MATCH("Act occ CS3",'D_Ch-1'!$4:$4,0)-1,FALSE))/(VLOOKUP($O$10,'D_Ch-1'!$B$4:$Y$39,MATCH("Total Occ Actifs LR",'D_Ch-1'!$4:$4,0)-1,FALSE))</f>
        <v>0.1777216735497488</v>
      </c>
      <c r="F30" s="1228"/>
      <c r="G30" s="403"/>
      <c r="H30" s="403"/>
      <c r="I30" s="403"/>
      <c r="J30" s="403"/>
      <c r="K30" s="403"/>
      <c r="L30" s="403"/>
      <c r="M30" s="403"/>
      <c r="N30" s="403"/>
      <c r="O30" s="403"/>
      <c r="P30" s="403"/>
      <c r="Q30" s="403"/>
      <c r="R30" s="403"/>
      <c r="S30" s="403"/>
      <c r="T30" s="403"/>
      <c r="V30"/>
      <c r="W30"/>
      <c r="X30"/>
      <c r="Y30"/>
      <c r="Z30"/>
      <c r="AA30"/>
      <c r="AB30"/>
      <c r="AC30"/>
    </row>
    <row r="31" spans="1:29">
      <c r="A31" s="841" t="s">
        <v>1265</v>
      </c>
      <c r="B31" s="407"/>
      <c r="C31" s="1228">
        <f>(VLOOKUP($I$10,'D_Ch-1'!$B$4:$Y$39,MATCH("Act occ CS4",'D_Ch-1'!$4:$4,0)-1,FALSE))/(VLOOKUP($I$10,'D_Ch-1'!$B$4:$Y$39,MATCH("Total Occ Actifs LR",'D_Ch-1'!$4:$4,0)-1,FALSE))</f>
        <v>0.25520543131790085</v>
      </c>
      <c r="D31" s="1228"/>
      <c r="E31" s="1228">
        <f>(VLOOKUP($O$10,'D_Ch-1'!$B$4:$Y$39,MATCH("Act occ CS4",'D_Ch-1'!$4:$4,0)-1,FALSE))/(VLOOKUP($O$10,'D_Ch-1'!$B$4:$Y$39,MATCH("Total Occ Actifs LR",'D_Ch-1'!$4:$4,0)-1,FALSE))</f>
        <v>0.26806549027784415</v>
      </c>
      <c r="F31" s="1228"/>
      <c r="G31" s="403"/>
      <c r="H31" s="403"/>
      <c r="I31" s="403"/>
      <c r="J31" s="403"/>
      <c r="K31" s="403"/>
      <c r="L31" s="403"/>
      <c r="M31" s="403"/>
      <c r="N31" s="403"/>
      <c r="O31" s="403"/>
      <c r="P31" s="403"/>
      <c r="Q31" s="403"/>
      <c r="R31" s="403"/>
      <c r="S31" s="403"/>
      <c r="T31" s="403"/>
      <c r="V31"/>
      <c r="W31"/>
      <c r="X31"/>
      <c r="Y31"/>
      <c r="Z31"/>
      <c r="AA31"/>
      <c r="AB31"/>
      <c r="AC31"/>
    </row>
    <row r="32" spans="1:29">
      <c r="A32" s="841" t="s">
        <v>587</v>
      </c>
      <c r="B32" s="407"/>
      <c r="C32" s="1228">
        <f>(VLOOKUP($I$10,'D_Ch-1'!$B$4:$Y$39,MATCH("Act occ CS5",'D_Ch-1'!$4:$4,0)-1,FALSE))/(VLOOKUP($I$10,'D_Ch-1'!$B$4:$Y$39,MATCH("Total Occ Actifs LR",'D_Ch-1'!$4:$4,0)-1,FALSE))</f>
        <v>0.28899178548204785</v>
      </c>
      <c r="D32" s="1228"/>
      <c r="E32" s="1228">
        <f>(VLOOKUP($O$10,'D_Ch-1'!$B$4:$Y$39,MATCH("Act occ CS5",'D_Ch-1'!$4:$4,0)-1,FALSE))/(VLOOKUP($O$10,'D_Ch-1'!$B$4:$Y$39,MATCH("Total Occ Actifs LR",'D_Ch-1'!$4:$4,0)-1,FALSE))</f>
        <v>0.28036945910425648</v>
      </c>
      <c r="F32" s="1228"/>
      <c r="G32" s="403"/>
      <c r="H32" s="403"/>
      <c r="I32" s="403"/>
      <c r="J32" s="403"/>
      <c r="K32" s="403"/>
      <c r="L32" s="403"/>
      <c r="M32" s="403"/>
      <c r="N32" s="403"/>
      <c r="O32" s="403"/>
      <c r="P32" s="403"/>
      <c r="Q32" s="403"/>
      <c r="R32" s="403"/>
      <c r="S32" s="403"/>
      <c r="T32" s="403"/>
      <c r="V32"/>
      <c r="W32"/>
      <c r="X32"/>
      <c r="Y32"/>
      <c r="Z32"/>
      <c r="AA32"/>
      <c r="AB32"/>
      <c r="AC32"/>
    </row>
    <row r="33" spans="1:29">
      <c r="A33" s="841" t="s">
        <v>588</v>
      </c>
      <c r="B33" s="407"/>
      <c r="C33" s="1228">
        <f>(VLOOKUP($I$10,'D_Ch-1'!$B$4:$Y$39,MATCH("Act occ CS6",'D_Ch-1'!$4:$4,0)-1,FALSE))/(VLOOKUP($I$10,'D_Ch-1'!$B$4:$Y$39,MATCH("Total Occ Actifs LR",'D_Ch-1'!$4:$4,0)-1,FALSE))</f>
        <v>0.21069018545795709</v>
      </c>
      <c r="D33" s="1228"/>
      <c r="E33" s="1228">
        <f>(VLOOKUP($O$10,'D_Ch-1'!$B$4:$Y$39,MATCH("Act occ CS6",'D_Ch-1'!$4:$4,0)-1,FALSE))/(VLOOKUP($O$10,'D_Ch-1'!$B$4:$Y$39,MATCH("Total Occ Actifs LR",'D_Ch-1'!$4:$4,0)-1,FALSE))</f>
        <v>0.18989780724191296</v>
      </c>
      <c r="F33" s="1228"/>
      <c r="G33" s="403"/>
      <c r="H33" s="403"/>
      <c r="I33" s="403"/>
      <c r="J33" s="403"/>
      <c r="K33" s="403"/>
      <c r="L33" s="403"/>
      <c r="M33" s="403"/>
      <c r="N33" s="403"/>
      <c r="O33" s="403"/>
      <c r="P33" s="403"/>
      <c r="Q33" s="403"/>
      <c r="R33" s="403"/>
      <c r="S33" s="403"/>
      <c r="T33" s="403"/>
      <c r="V33"/>
      <c r="W33"/>
      <c r="X33"/>
      <c r="Y33"/>
      <c r="Z33"/>
      <c r="AA33"/>
      <c r="AB33"/>
      <c r="AC33"/>
    </row>
    <row r="34" spans="1:29">
      <c r="A34" s="407"/>
      <c r="B34" s="407"/>
      <c r="C34" s="842"/>
      <c r="D34" s="407"/>
      <c r="E34" s="407"/>
      <c r="F34" s="407"/>
      <c r="G34" s="403"/>
      <c r="H34" s="403"/>
      <c r="I34" s="403"/>
      <c r="J34" s="403"/>
      <c r="K34" s="403"/>
      <c r="L34" s="403"/>
      <c r="M34" s="403"/>
      <c r="N34" s="403"/>
      <c r="O34" s="403"/>
      <c r="P34" s="403"/>
      <c r="Q34" s="403"/>
      <c r="R34" s="403"/>
      <c r="S34" s="403"/>
      <c r="T34" s="403"/>
      <c r="V34"/>
      <c r="W34"/>
      <c r="X34"/>
      <c r="Y34"/>
      <c r="Z34"/>
      <c r="AA34"/>
      <c r="AB34"/>
      <c r="AC34"/>
    </row>
    <row r="35" spans="1:29">
      <c r="A35" s="641"/>
      <c r="B35" s="641"/>
      <c r="C35" s="641"/>
      <c r="D35" s="641"/>
      <c r="E35" s="641"/>
      <c r="F35" s="641"/>
      <c r="G35" s="403"/>
      <c r="H35" s="403"/>
      <c r="I35" s="403"/>
      <c r="J35" s="403"/>
      <c r="K35" s="403"/>
      <c r="L35" s="403"/>
      <c r="M35" s="403"/>
      <c r="N35" s="403"/>
      <c r="O35" s="403"/>
      <c r="P35" s="403"/>
      <c r="Q35" s="403"/>
      <c r="R35" s="403"/>
      <c r="S35" s="403"/>
      <c r="T35" s="403"/>
      <c r="V35"/>
      <c r="W35"/>
      <c r="X35"/>
      <c r="Y35"/>
      <c r="Z35"/>
      <c r="AA35"/>
      <c r="AB35"/>
      <c r="AC35"/>
    </row>
    <row r="36" spans="1:29">
      <c r="A36" s="403"/>
      <c r="B36" s="403"/>
      <c r="C36" s="403"/>
      <c r="D36" s="403"/>
      <c r="E36" s="403"/>
      <c r="F36" s="403"/>
      <c r="G36" s="403"/>
      <c r="H36" s="403"/>
      <c r="I36" s="403"/>
      <c r="J36" s="403"/>
      <c r="K36" s="403"/>
      <c r="L36" s="403"/>
      <c r="M36" s="403"/>
      <c r="N36" s="403"/>
      <c r="O36" s="403"/>
      <c r="P36" s="403"/>
      <c r="Q36" s="403"/>
      <c r="R36" s="403"/>
      <c r="S36" s="403"/>
      <c r="T36" s="403"/>
      <c r="V36"/>
      <c r="W36"/>
      <c r="X36"/>
      <c r="Y36"/>
      <c r="Z36"/>
      <c r="AA36"/>
      <c r="AB36"/>
      <c r="AC36"/>
    </row>
    <row r="37" spans="1:29">
      <c r="A37" s="861" t="s">
        <v>1682</v>
      </c>
      <c r="B37" s="861"/>
      <c r="C37" s="861"/>
      <c r="D37" s="861"/>
      <c r="E37" s="861"/>
      <c r="F37" s="861"/>
      <c r="G37" s="861"/>
      <c r="H37" s="403"/>
      <c r="I37" s="403"/>
      <c r="J37" s="403"/>
      <c r="K37" s="403"/>
      <c r="L37" s="403"/>
      <c r="M37" s="403"/>
      <c r="N37" s="403"/>
      <c r="O37" s="403"/>
      <c r="P37" s="403"/>
      <c r="Q37" s="403"/>
      <c r="R37" s="403"/>
      <c r="S37" s="403"/>
      <c r="T37" s="403"/>
      <c r="V37"/>
      <c r="W37"/>
      <c r="X37"/>
      <c r="Y37"/>
      <c r="Z37"/>
      <c r="AA37"/>
      <c r="AB37"/>
      <c r="AC37"/>
    </row>
    <row r="38" spans="1:29">
      <c r="A38" s="641"/>
      <c r="B38" s="641"/>
      <c r="C38" s="641"/>
      <c r="D38" s="641"/>
      <c r="E38" s="641"/>
      <c r="F38" s="641"/>
      <c r="G38" s="641"/>
      <c r="H38" s="641"/>
      <c r="I38" s="641"/>
      <c r="J38" s="641"/>
      <c r="K38" s="641"/>
      <c r="L38" s="641"/>
      <c r="M38" s="641"/>
      <c r="N38" s="641"/>
      <c r="O38" s="403"/>
      <c r="P38" s="403"/>
      <c r="Q38" s="403"/>
      <c r="R38" s="403"/>
      <c r="S38" s="403"/>
      <c r="T38" s="403"/>
      <c r="V38"/>
      <c r="W38"/>
      <c r="X38"/>
      <c r="Y38"/>
      <c r="Z38"/>
      <c r="AA38"/>
      <c r="AB38"/>
      <c r="AC38"/>
    </row>
    <row r="39" spans="1:29">
      <c r="A39" s="194"/>
      <c r="B39" s="194"/>
      <c r="C39" s="641"/>
      <c r="D39" s="641"/>
      <c r="E39" s="641"/>
      <c r="F39" s="641"/>
      <c r="G39" s="641"/>
      <c r="H39" s="641"/>
      <c r="I39" s="641"/>
      <c r="J39" s="641"/>
      <c r="K39" s="641"/>
      <c r="L39" s="641"/>
      <c r="M39" s="641"/>
      <c r="N39" s="641"/>
      <c r="O39" s="403"/>
      <c r="P39" s="403"/>
      <c r="Q39" s="403"/>
      <c r="R39" s="403"/>
      <c r="S39" s="403"/>
      <c r="T39" s="403"/>
      <c r="V39"/>
      <c r="W39"/>
      <c r="X39"/>
      <c r="Y39"/>
      <c r="Z39"/>
      <c r="AA39"/>
      <c r="AB39"/>
      <c r="AC39"/>
    </row>
    <row r="40" spans="1:29">
      <c r="A40" s="194"/>
      <c r="B40" s="194"/>
      <c r="C40" s="1228"/>
      <c r="D40" s="1228"/>
      <c r="E40" s="1228"/>
      <c r="F40" s="1228"/>
      <c r="G40" s="407"/>
      <c r="H40" s="641"/>
      <c r="I40" s="641"/>
      <c r="J40" s="641"/>
      <c r="K40" s="641"/>
      <c r="L40" s="641"/>
      <c r="M40" s="641"/>
      <c r="N40" s="641"/>
      <c r="O40" s="403"/>
      <c r="P40" s="403"/>
      <c r="Q40" s="403"/>
      <c r="R40" s="403"/>
      <c r="S40" s="403"/>
      <c r="T40" s="403"/>
      <c r="V40"/>
      <c r="W40"/>
      <c r="X40"/>
      <c r="Y40"/>
      <c r="Z40"/>
      <c r="AA40"/>
      <c r="AB40"/>
      <c r="AC40"/>
    </row>
    <row r="41" spans="1:29">
      <c r="A41" s="194" t="s">
        <v>1352</v>
      </c>
      <c r="B41" s="194"/>
      <c r="C41" s="1228">
        <f>(VLOOKUP($I$10,'D_Ch-1'!$B$4:$Y$39,MATCH("Enseignement sup",'D_Ch-1'!$4:$4,0)-1,FALSE))/(VLOOKUP($I$10,'D_Ch-1'!$B$4:$Y$39,MATCH("Pop 15 ans ou plus non scolarisée",'D_Ch-1'!$4:$4,0)-1,FALSE))</f>
        <v>0.2641651953532147</v>
      </c>
      <c r="D41" s="1228"/>
      <c r="E41" s="1228">
        <f>(VLOOKUP($O$10,'D_Ch-1'!$B$4:$Y$39,MATCH("Enseignement sup",'D_Ch-1'!$4:$4,0)-1,FALSE))/(VLOOKUP($O$10,'D_Ch-1'!$B$4:$Y$39,MATCH("Pop 15 ans ou plus non scolarisée",'D_Ch-1'!$4:$4,0)-1,FALSE))</f>
        <v>0.30067628170460436</v>
      </c>
      <c r="F41" s="1228"/>
      <c r="G41" s="407"/>
      <c r="H41" s="641"/>
      <c r="I41" s="641"/>
      <c r="J41" s="641"/>
      <c r="K41" s="641"/>
      <c r="L41" s="641"/>
      <c r="M41" s="641"/>
      <c r="N41" s="641"/>
      <c r="O41" s="403"/>
      <c r="P41" s="403"/>
      <c r="Q41" s="403"/>
      <c r="R41" s="403"/>
      <c r="S41" s="403"/>
      <c r="T41" s="403"/>
      <c r="V41"/>
      <c r="W41"/>
      <c r="X41"/>
      <c r="Y41"/>
      <c r="Z41"/>
      <c r="AA41"/>
      <c r="AB41"/>
      <c r="AC41"/>
    </row>
    <row r="42" spans="1:29">
      <c r="A42" s="194" t="s">
        <v>1244</v>
      </c>
      <c r="B42" s="194"/>
      <c r="C42" s="1228">
        <f>(VLOOKUP($I$10,'D_Ch-1'!$B$4:$Y$39,MATCH("BAC-Bpro",'D_Ch-1'!$4:$4,0)-1,FALSE))/(VLOOKUP($I$10,'D_Ch-1'!$B$4:$Y$39,MATCH("Pop 15 ans ou plus non scolarisée",'D_Ch-1'!$4:$4,0)-1,FALSE))</f>
        <v>0.17344823694313377</v>
      </c>
      <c r="D42" s="1228"/>
      <c r="E42" s="1228">
        <f>(VLOOKUP($O$10,'D_Ch-1'!$B$4:$Y$39,MATCH("BAC-Bpro",'D_Ch-1'!$4:$4,0)-1,FALSE))/(VLOOKUP($O$10,'D_Ch-1'!$B$4:$Y$39,MATCH("Pop 15 ans ou plus non scolarisée",'D_Ch-1'!$4:$4,0)-1,FALSE))</f>
        <v>0.17372164779624544</v>
      </c>
      <c r="F42" s="1228"/>
      <c r="G42" s="407"/>
      <c r="H42" s="641"/>
      <c r="I42" s="641"/>
      <c r="J42" s="641"/>
      <c r="K42" s="641"/>
      <c r="L42" s="641"/>
      <c r="M42" s="641"/>
      <c r="N42" s="641"/>
      <c r="O42" s="403"/>
      <c r="P42" s="403"/>
      <c r="Q42" s="403"/>
      <c r="R42" s="403"/>
      <c r="S42" s="403"/>
      <c r="T42" s="403"/>
      <c r="V42"/>
      <c r="W42"/>
      <c r="X42"/>
      <c r="Y42"/>
      <c r="Z42"/>
      <c r="AA42"/>
      <c r="AB42"/>
      <c r="AC42"/>
    </row>
    <row r="43" spans="1:29">
      <c r="A43" s="194" t="s">
        <v>590</v>
      </c>
      <c r="B43" s="194"/>
      <c r="C43" s="1230">
        <f>(VLOOKUP($I$10,'D_Ch-1'!$B$4:$Y$39,MATCH("CAP-BEP",'D_Ch-1'!$4:$4,0)-1,FALSE))/(VLOOKUP($I$10,'D_Ch-1'!$B$4:$Y$39,MATCH("Pop 15 ans ou plus non scolarisée",'D_Ch-1'!$4:$4,0)-1,FALSE))</f>
        <v>0.26569829546800083</v>
      </c>
      <c r="D43" s="1230"/>
      <c r="E43" s="1228">
        <f>(VLOOKUP($O$10,'D_Ch-1'!$B$4:$Y$39,MATCH("CAP-BEP",'D_Ch-1'!$4:$4,0)-1,FALSE))/(VLOOKUP($O$10,'D_Ch-1'!$B$4:$Y$39,MATCH("Pop 15 ans ou plus non scolarisée",'D_Ch-1'!$4:$4,0)-1,FALSE))</f>
        <v>0.25080545463064574</v>
      </c>
      <c r="F43" s="1228"/>
      <c r="G43" s="407"/>
      <c r="H43" s="641"/>
      <c r="I43" s="641"/>
      <c r="J43" s="641"/>
      <c r="K43" s="641"/>
      <c r="L43" s="641"/>
      <c r="M43" s="641"/>
      <c r="N43" s="641"/>
      <c r="O43" s="403"/>
      <c r="P43" s="403"/>
      <c r="Q43" s="403"/>
      <c r="R43" s="403"/>
      <c r="S43" s="403"/>
      <c r="T43" s="403"/>
      <c r="V43"/>
      <c r="W43"/>
      <c r="X43"/>
      <c r="Y43"/>
      <c r="Z43"/>
      <c r="AA43"/>
      <c r="AB43"/>
      <c r="AC43"/>
    </row>
    <row r="44" spans="1:29">
      <c r="A44" s="194" t="s">
        <v>1263</v>
      </c>
      <c r="B44" s="194"/>
      <c r="C44" s="1228">
        <f>(VLOOKUP($I$10,'D_Ch-1'!$B$4:$Y$39,MATCH("0 diplôme CEP - Brevet coll",'D_Ch-1'!$4:$4,0)-1,FALSE))/(VLOOKUP($I$10,'D_Ch-1'!$B$4:$Y$39,MATCH("Pop 15 ans ou plus non scolarisée",'D_Ch-1'!$4:$4,0)-1,FALSE))</f>
        <v>0.29668827223564986</v>
      </c>
      <c r="D44" s="1228"/>
      <c r="E44" s="1228">
        <f>(VLOOKUP($O$10,'D_Ch-1'!$B$4:$Y$39,MATCH("0 diplôme CEP - Brevet coll",'D_Ch-1'!$4:$4,0)-1,FALSE))/(VLOOKUP($O$10,'D_Ch-1'!$B$4:$Y$39,MATCH("Pop 15 ans ou plus non scolarisée",'D_Ch-1'!$4:$4,0)-1,FALSE))</f>
        <v>0.27479661586850368</v>
      </c>
      <c r="F44" s="1228"/>
      <c r="G44" s="407"/>
      <c r="H44" s="641"/>
      <c r="I44" s="641"/>
      <c r="J44" s="641"/>
      <c r="K44" s="641"/>
      <c r="L44" s="641"/>
      <c r="M44" s="641"/>
      <c r="N44" s="641"/>
      <c r="O44" s="403"/>
      <c r="P44" s="403"/>
      <c r="Q44" s="403"/>
      <c r="R44" s="403"/>
      <c r="S44" s="403"/>
      <c r="T44" s="403"/>
      <c r="V44"/>
      <c r="W44"/>
      <c r="X44"/>
      <c r="Y44"/>
      <c r="Z44"/>
      <c r="AA44"/>
      <c r="AB44"/>
      <c r="AC44"/>
    </row>
    <row r="45" spans="1:29">
      <c r="A45" s="194"/>
      <c r="B45" s="194"/>
      <c r="C45" s="1228"/>
      <c r="D45" s="1228"/>
      <c r="E45" s="1228"/>
      <c r="F45" s="1228"/>
      <c r="G45" s="407"/>
      <c r="H45" s="641"/>
      <c r="I45" s="641"/>
      <c r="J45" s="641"/>
      <c r="K45" s="641"/>
      <c r="L45" s="641"/>
      <c r="M45" s="641"/>
      <c r="N45" s="641"/>
      <c r="O45" s="403"/>
      <c r="P45" s="403"/>
      <c r="Q45" s="403"/>
      <c r="R45" s="403"/>
      <c r="S45" s="403"/>
      <c r="T45" s="403"/>
      <c r="V45"/>
      <c r="W45"/>
      <c r="X45"/>
      <c r="Y45"/>
      <c r="Z45"/>
      <c r="AA45"/>
      <c r="AB45"/>
      <c r="AC45"/>
    </row>
    <row r="46" spans="1:29">
      <c r="A46" s="194"/>
      <c r="B46" s="194"/>
      <c r="C46" s="1229"/>
      <c r="D46" s="1229"/>
      <c r="E46" s="1229"/>
      <c r="F46" s="1229"/>
      <c r="G46" s="641"/>
      <c r="H46" s="641"/>
      <c r="I46" s="641"/>
      <c r="J46" s="641"/>
      <c r="K46" s="641"/>
      <c r="L46" s="641"/>
      <c r="M46" s="641"/>
      <c r="N46" s="641"/>
      <c r="O46" s="403"/>
      <c r="P46" s="403"/>
      <c r="Q46" s="403"/>
      <c r="R46" s="403"/>
      <c r="S46" s="403"/>
      <c r="T46" s="403"/>
      <c r="V46"/>
      <c r="W46"/>
      <c r="X46"/>
      <c r="Y46"/>
      <c r="Z46"/>
      <c r="AA46"/>
      <c r="AB46"/>
      <c r="AC46"/>
    </row>
    <row r="47" spans="1:29">
      <c r="A47" s="194"/>
      <c r="B47" s="194"/>
      <c r="C47" s="641"/>
      <c r="D47" s="641"/>
      <c r="E47" s="641"/>
      <c r="F47" s="641"/>
      <c r="G47" s="641"/>
      <c r="H47" s="641"/>
      <c r="I47" s="641"/>
      <c r="J47" s="641"/>
      <c r="K47" s="641"/>
      <c r="L47" s="641"/>
      <c r="M47" s="641"/>
      <c r="N47" s="641"/>
      <c r="O47" s="403"/>
      <c r="P47" s="403"/>
      <c r="Q47" s="403"/>
      <c r="R47" s="403"/>
      <c r="S47" s="403"/>
      <c r="T47" s="403"/>
      <c r="V47"/>
      <c r="W47"/>
      <c r="X47"/>
      <c r="Y47"/>
      <c r="Z47"/>
      <c r="AA47"/>
      <c r="AB47"/>
      <c r="AC47"/>
    </row>
    <row r="48" spans="1:29">
      <c r="A48" s="641"/>
      <c r="B48" s="641"/>
      <c r="C48" s="641"/>
      <c r="D48" s="641"/>
      <c r="E48" s="641"/>
      <c r="F48" s="641"/>
      <c r="G48" s="641"/>
      <c r="H48" s="641"/>
      <c r="I48" s="641"/>
      <c r="J48" s="641"/>
      <c r="K48" s="641"/>
      <c r="L48" s="641"/>
      <c r="M48" s="641"/>
      <c r="N48" s="641"/>
      <c r="O48" s="403"/>
      <c r="P48" s="403"/>
      <c r="Q48" s="403"/>
      <c r="R48" s="403"/>
      <c r="S48" s="403"/>
      <c r="T48" s="403"/>
      <c r="V48"/>
      <c r="W48"/>
      <c r="X48"/>
      <c r="Y48"/>
      <c r="Z48"/>
      <c r="AA48"/>
      <c r="AB48"/>
      <c r="AC48"/>
    </row>
    <row r="49" spans="1:29">
      <c r="A49" s="403"/>
      <c r="B49" s="403"/>
      <c r="C49" s="403"/>
      <c r="D49" s="403"/>
      <c r="E49" s="403"/>
      <c r="F49" s="403"/>
      <c r="G49" s="403"/>
      <c r="H49" s="403"/>
      <c r="I49" s="403"/>
      <c r="J49" s="403"/>
      <c r="K49" s="403"/>
      <c r="L49" s="403"/>
      <c r="M49" s="403"/>
      <c r="N49" s="403"/>
      <c r="O49" s="403"/>
      <c r="P49" s="403"/>
      <c r="Q49" s="403"/>
      <c r="R49" s="403"/>
      <c r="S49" s="403"/>
      <c r="T49" s="403"/>
      <c r="V49"/>
      <c r="W49"/>
      <c r="X49"/>
      <c r="Y49"/>
      <c r="Z49"/>
      <c r="AA49"/>
      <c r="AB49"/>
      <c r="AC49"/>
    </row>
    <row r="50" spans="1:29">
      <c r="A50" s="216"/>
      <c r="B50" s="216"/>
      <c r="C50" s="216"/>
      <c r="D50" s="216"/>
      <c r="E50" s="216"/>
      <c r="F50" s="216"/>
      <c r="G50" s="216"/>
      <c r="H50" s="216"/>
      <c r="I50" s="216"/>
      <c r="J50" s="216"/>
      <c r="K50" s="216"/>
      <c r="L50" s="216"/>
      <c r="M50" s="216"/>
      <c r="N50" s="216"/>
      <c r="O50" s="216"/>
      <c r="P50" s="216"/>
      <c r="Q50" s="216"/>
      <c r="R50" s="216"/>
      <c r="S50" s="216"/>
      <c r="T50" s="216"/>
      <c r="V50"/>
      <c r="W50"/>
      <c r="X50"/>
      <c r="Y50"/>
      <c r="Z50"/>
      <c r="AA50"/>
      <c r="AB50"/>
      <c r="AC50"/>
    </row>
    <row r="51" spans="1:29">
      <c r="V51"/>
      <c r="W51"/>
      <c r="X51"/>
      <c r="Y51"/>
      <c r="Z51"/>
      <c r="AA51"/>
      <c r="AB51"/>
      <c r="AC51"/>
    </row>
    <row r="52" spans="1:29"/>
    <row r="62" spans="1:29" hidden="1">
      <c r="F62" s="875"/>
      <c r="G62" s="875"/>
      <c r="H62" s="875"/>
      <c r="I62" s="875"/>
      <c r="J62" s="875"/>
      <c r="K62" s="875"/>
      <c r="L62" s="875"/>
      <c r="M62" s="875"/>
      <c r="N62" s="875"/>
      <c r="O62" s="875"/>
      <c r="P62" s="875"/>
      <c r="Q62" s="875"/>
      <c r="R62" s="875"/>
      <c r="S62" s="875"/>
      <c r="T62" s="875"/>
    </row>
    <row r="63" spans="1:29" hidden="1">
      <c r="F63" s="875"/>
      <c r="G63" s="875"/>
      <c r="H63" s="875"/>
      <c r="I63" s="875"/>
      <c r="J63" s="875"/>
      <c r="K63" s="875"/>
      <c r="L63" s="875"/>
      <c r="M63" s="875"/>
      <c r="N63" s="875"/>
      <c r="O63" s="875"/>
      <c r="P63" s="875"/>
      <c r="Q63" s="875"/>
      <c r="R63" s="875"/>
      <c r="S63" s="875"/>
      <c r="T63" s="875"/>
    </row>
  </sheetData>
  <sheetProtection algorithmName="SHA-512" hashValue="sstONODvaa9byJZUmTMtLTbV5ZEEe+XsRQikuMG7pNcV7YGKec5wWua/UUxd15MY1bnSjbU77Cixqk5M/pGKHw==" saltValue="oY7pF3fknuR92VMUEBnfaw==" spinCount="100000" sheet="1" objects="1" autoFilter="0"/>
  <mergeCells count="56">
    <mergeCell ref="F1:T4"/>
    <mergeCell ref="A6:T7"/>
    <mergeCell ref="I12:K12"/>
    <mergeCell ref="O12:Q12"/>
    <mergeCell ref="I13:K13"/>
    <mergeCell ref="I11:K11"/>
    <mergeCell ref="O13:Q13"/>
    <mergeCell ref="L12:N12"/>
    <mergeCell ref="I10:L10"/>
    <mergeCell ref="O10:R10"/>
    <mergeCell ref="R12:T12"/>
    <mergeCell ref="A10:D10"/>
    <mergeCell ref="A14:F14"/>
    <mergeCell ref="A15:F15"/>
    <mergeCell ref="L18:N18"/>
    <mergeCell ref="A17:H18"/>
    <mergeCell ref="R18:T18"/>
    <mergeCell ref="I14:K14"/>
    <mergeCell ref="I15:K15"/>
    <mergeCell ref="O14:Q14"/>
    <mergeCell ref="O15:Q15"/>
    <mergeCell ref="I18:K18"/>
    <mergeCell ref="O18:Q18"/>
    <mergeCell ref="C33:D33"/>
    <mergeCell ref="E33:F33"/>
    <mergeCell ref="C40:D40"/>
    <mergeCell ref="E40:F40"/>
    <mergeCell ref="C30:D30"/>
    <mergeCell ref="E30:F30"/>
    <mergeCell ref="C31:D31"/>
    <mergeCell ref="E31:F31"/>
    <mergeCell ref="C32:D32"/>
    <mergeCell ref="E32:F32"/>
    <mergeCell ref="I20:K20"/>
    <mergeCell ref="O20:Q20"/>
    <mergeCell ref="C28:D28"/>
    <mergeCell ref="E28:F28"/>
    <mergeCell ref="C29:D29"/>
    <mergeCell ref="E29:F29"/>
    <mergeCell ref="J21:K21"/>
    <mergeCell ref="P21:Q21"/>
    <mergeCell ref="A21:E21"/>
    <mergeCell ref="A20:E20"/>
    <mergeCell ref="G20:H20"/>
    <mergeCell ref="E41:F41"/>
    <mergeCell ref="C41:D41"/>
    <mergeCell ref="C46:D46"/>
    <mergeCell ref="E46:F46"/>
    <mergeCell ref="C42:D42"/>
    <mergeCell ref="E42:F42"/>
    <mergeCell ref="C43:D43"/>
    <mergeCell ref="E43:F43"/>
    <mergeCell ref="C45:D45"/>
    <mergeCell ref="E45:F45"/>
    <mergeCell ref="C44:D44"/>
    <mergeCell ref="E44:F44"/>
  </mergeCells>
  <conditionalFormatting sqref="L12">
    <cfRule type="iconSet" priority="10">
      <iconSet iconSet="5ArrowsGray">
        <cfvo type="percent" val="0"/>
        <cfvo type="num" val="-0.5"/>
        <cfvo type="num" val="-0.05"/>
        <cfvo type="num" val="0.05"/>
        <cfvo type="num" val="0.5"/>
      </iconSet>
    </cfRule>
  </conditionalFormatting>
  <conditionalFormatting sqref="L18:N18">
    <cfRule type="iconSet" priority="3">
      <iconSet iconSet="5ArrowsGray">
        <cfvo type="percent" val="0"/>
        <cfvo type="num" val="-0.5"/>
        <cfvo type="num" val="-0.05"/>
        <cfvo type="num" val="0.05"/>
        <cfvo type="num" val="0.5"/>
      </iconSet>
    </cfRule>
  </conditionalFormatting>
  <conditionalFormatting sqref="R18:T18">
    <cfRule type="iconSet" priority="2">
      <iconSet iconSet="5ArrowsGray">
        <cfvo type="percent" val="0"/>
        <cfvo type="num" val="-0.5"/>
        <cfvo type="num" val="-0.05"/>
        <cfvo type="num" val="0.05"/>
        <cfvo type="num" val="0.5"/>
      </iconSet>
    </cfRule>
  </conditionalFormatting>
  <conditionalFormatting sqref="R12">
    <cfRule type="iconSet" priority="1">
      <iconSet iconSet="5ArrowsGray">
        <cfvo type="percent" val="0"/>
        <cfvo type="num" val="-0.5"/>
        <cfvo type="num" val="-0.05"/>
        <cfvo type="num" val="0.05"/>
        <cfvo type="num" val="0.5"/>
      </iconSet>
    </cfRule>
  </conditionalFormatting>
  <hyperlinks>
    <hyperlink ref="A12:F12" location="Glossaire!A124" display="Nombre d'habitants en 2014" xr:uid="{00000000-0004-0000-1700-000000000000}"/>
    <hyperlink ref="A13:F13" location="Glossaire!A18" display="Taux de croissance annuel moyen" xr:uid="{00000000-0004-0000-1700-000001000000}"/>
    <hyperlink ref="A20" location="Glossaire!A36" display="Nb d'actifs de 15 - 64 ans en 2012" xr:uid="{00000000-0004-0000-1700-000002000000}"/>
    <hyperlink ref="A21" location="Glossaire!A38" display="Taux d'activité en 2012" xr:uid="{00000000-0004-0000-1700-000003000000}"/>
    <hyperlink ref="A25" location="Glossaire!A40" display="Répartition des actifs occupés en 2012" xr:uid="{00000000-0004-0000-1700-000004000000}"/>
    <hyperlink ref="A37" location="Glossaire!A42" display="Niveau de qualification en 2012" xr:uid="{00000000-0004-0000-1700-000005000000}"/>
    <hyperlink ref="A20:E20" location="Glossaire!A151" display="Nombre d'actifs de 15 - 64 ans en 2013" xr:uid="{00000000-0004-0000-1700-000006000000}"/>
    <hyperlink ref="A21:D21" location="Glossaire!A38" display="Taux d'activité en 2012" xr:uid="{00000000-0004-0000-1700-000007000000}"/>
    <hyperlink ref="A25:F25" location="Glossaire!A40" display="Répartition des actifs occupés en 2012" xr:uid="{00000000-0004-0000-1700-000008000000}"/>
    <hyperlink ref="A37:E37" location="Glossaire!A42" display="Niveau de qualification en 2012" xr:uid="{00000000-0004-0000-1700-000009000000}"/>
    <hyperlink ref="A20:G20" location="Glossaire!A38" display="Nombre d'actifs de 15 - 64 ans en 2013" xr:uid="{00000000-0004-0000-1700-00000A000000}"/>
    <hyperlink ref="A21:E21" location="Glossaire!A153" display="Taux d'activité en 2014" xr:uid="{00000000-0004-0000-1700-00000B000000}"/>
    <hyperlink ref="A37:G37" location="Glossaire!A152" display="Niveau de qualification en 2013" xr:uid="{00000000-0004-0000-1700-00000C000000}"/>
    <hyperlink ref="A25:H25" location="Glossaire!A156" display="Répartition des actifs occupés en 2014" xr:uid="{00000000-0004-0000-1700-00000D000000}"/>
    <hyperlink ref="A20:H20" location="Glossaire!A146" display="Nombre d'actifs de 15 - 64 ans en 2013" xr:uid="{00000000-0004-0000-1700-00000E000000}"/>
    <hyperlink ref="A13:G13" location="Glossaire!A132" display="Taux de croissance annuel moyen" xr:uid="{00000000-0004-0000-1700-00000F000000}"/>
    <hyperlink ref="A37:F37" location="Glossaire!A158" display="Niveau de qualification en 2014" xr:uid="{00000000-0004-0000-1700-000010000000}"/>
    <hyperlink ref="A17:H18" location="Glossaire!A135" display="Glossaire!A135" xr:uid="{00000000-0004-0000-1700-000011000000}"/>
    <hyperlink ref="A25:I26" location="Glossaire!A155" display="Répartition des actifs occupés en 2014" xr:uid="{00000000-0004-0000-1700-000012000000}"/>
  </hyperlinks>
  <pageMargins left="0.23622047244094491" right="0.23622047244094491" top="0.55118110236220474" bottom="0.55118110236220474" header="0.11811023622047245" footer="0.11811023622047245"/>
  <pageSetup paperSize="9" fitToWidth="2" orientation="portrait" r:id="rId1"/>
  <headerFooter>
    <oddHeader>&amp;C&amp;"Arial,Gras"&amp;10Tableau de bord / Mise à jour avril 2018</oddHeader>
    <oddFooter>&amp;C&amp;"-,Italique"&amp;8&amp;A&amp;R&amp;8Page &amp;P</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700-000000000000}">
          <x14:formula1>
            <xm:f>'D_Ch-1'!$B$5:$B$39</xm:f>
          </x14:formula1>
          <xm:sqref>O10:R10</xm:sqref>
        </x14:dataValidation>
        <x14:dataValidation type="list" allowBlank="1" showInputMessage="1" showErrorMessage="1" xr:uid="{00000000-0002-0000-1700-000001000000}">
          <x14:formula1>
            <xm:f>'D_Ch-1'!$B$5:$B$39</xm:f>
          </x14:formula1>
          <xm:sqref>I10:L10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63"/>
  <sheetViews>
    <sheetView showGridLines="0" showRowColHeaders="0" showRuler="0" view="pageLayout" zoomScaleNormal="100" workbookViewId="0">
      <selection activeCell="O9" sqref="O9:R9"/>
    </sheetView>
  </sheetViews>
  <sheetFormatPr baseColWidth="10" defaultColWidth="0" defaultRowHeight="15" zeroHeight="1"/>
  <cols>
    <col min="1" max="4" width="4.85546875" customWidth="1"/>
    <col min="5" max="7" width="4.7109375" customWidth="1"/>
    <col min="8" max="19" width="4.85546875" customWidth="1"/>
    <col min="20" max="20" width="3" customWidth="1"/>
    <col min="21" max="22" width="0" hidden="1" customWidth="1"/>
    <col min="23" max="16384" width="11.42578125" hidden="1"/>
  </cols>
  <sheetData>
    <row r="1" spans="1:22" ht="16.7" customHeight="1">
      <c r="A1" s="1"/>
      <c r="B1" s="6"/>
      <c r="C1" s="7"/>
      <c r="D1" s="7"/>
      <c r="E1" s="7"/>
      <c r="F1" s="1104" t="s">
        <v>1039</v>
      </c>
      <c r="G1" s="1105"/>
      <c r="H1" s="1105"/>
      <c r="I1" s="1105"/>
      <c r="J1" s="1105"/>
      <c r="K1" s="1105"/>
      <c r="L1" s="1105"/>
      <c r="M1" s="1105"/>
      <c r="N1" s="1105"/>
      <c r="O1" s="1105"/>
      <c r="P1" s="1105"/>
      <c r="Q1" s="1105"/>
      <c r="R1" s="1105"/>
      <c r="S1" s="1105"/>
      <c r="T1" s="1105"/>
    </row>
    <row r="2" spans="1:22" ht="16.7" customHeight="1">
      <c r="A2" s="2"/>
      <c r="B2" s="7"/>
      <c r="C2" s="7"/>
      <c r="D2" s="7"/>
      <c r="E2" s="7"/>
      <c r="F2" s="1104"/>
      <c r="G2" s="1105"/>
      <c r="H2" s="1105"/>
      <c r="I2" s="1105"/>
      <c r="J2" s="1105"/>
      <c r="K2" s="1105"/>
      <c r="L2" s="1105"/>
      <c r="M2" s="1105"/>
      <c r="N2" s="1105"/>
      <c r="O2" s="1105"/>
      <c r="P2" s="1105"/>
      <c r="Q2" s="1105"/>
      <c r="R2" s="1105"/>
      <c r="S2" s="1105"/>
      <c r="T2" s="1105"/>
    </row>
    <row r="3" spans="1:22" ht="16.7" customHeight="1">
      <c r="A3" s="3"/>
      <c r="B3" s="7"/>
      <c r="C3" s="7"/>
      <c r="D3" s="7"/>
      <c r="E3" s="7"/>
      <c r="F3" s="1104"/>
      <c r="G3" s="1105"/>
      <c r="H3" s="1105"/>
      <c r="I3" s="1105"/>
      <c r="J3" s="1105"/>
      <c r="K3" s="1105"/>
      <c r="L3" s="1105"/>
      <c r="M3" s="1105"/>
      <c r="N3" s="1105"/>
      <c r="O3" s="1105"/>
      <c r="P3" s="1105"/>
      <c r="Q3" s="1105"/>
      <c r="R3" s="1105"/>
      <c r="S3" s="1105"/>
      <c r="T3" s="1105"/>
    </row>
    <row r="4" spans="1:22" ht="16.7" customHeight="1">
      <c r="A4" s="3"/>
      <c r="B4" s="7"/>
      <c r="C4" s="7"/>
      <c r="D4" s="7"/>
      <c r="E4" s="7"/>
      <c r="F4" s="1104"/>
      <c r="G4" s="1105"/>
      <c r="H4" s="1105"/>
      <c r="I4" s="1105"/>
      <c r="J4" s="1105"/>
      <c r="K4" s="1105"/>
      <c r="L4" s="1105"/>
      <c r="M4" s="1105"/>
      <c r="N4" s="1105"/>
      <c r="O4" s="1105"/>
      <c r="P4" s="1105"/>
      <c r="Q4" s="1105"/>
      <c r="R4" s="1105"/>
      <c r="S4" s="1105"/>
      <c r="T4" s="1105"/>
    </row>
    <row r="5" spans="1:22" ht="3" customHeight="1">
      <c r="A5" s="4"/>
      <c r="B5" s="5"/>
      <c r="C5" s="4"/>
      <c r="D5" s="4"/>
      <c r="E5" s="4"/>
      <c r="F5" s="8"/>
      <c r="G5" s="8"/>
      <c r="H5" s="9"/>
      <c r="I5" s="9"/>
      <c r="J5" s="9"/>
      <c r="K5" s="9"/>
      <c r="L5" s="9"/>
      <c r="M5" s="9"/>
      <c r="N5" s="9"/>
      <c r="O5" s="9"/>
      <c r="P5" s="9"/>
      <c r="Q5" s="9"/>
      <c r="R5" s="9"/>
      <c r="S5" s="9"/>
      <c r="T5" s="9"/>
    </row>
    <row r="6" spans="1:22" ht="15" customHeight="1">
      <c r="A6" s="1102" t="s">
        <v>274</v>
      </c>
      <c r="B6" s="1102"/>
      <c r="C6" s="1102"/>
      <c r="D6" s="1102"/>
      <c r="E6" s="1102"/>
      <c r="F6" s="1102"/>
      <c r="G6" s="1102"/>
      <c r="H6" s="1102"/>
      <c r="I6" s="1102"/>
      <c r="J6" s="1102"/>
      <c r="K6" s="1102"/>
      <c r="L6" s="1102"/>
      <c r="M6" s="1102"/>
      <c r="N6" s="1102"/>
      <c r="O6" s="1102"/>
      <c r="P6" s="1102"/>
      <c r="Q6" s="1102"/>
      <c r="R6" s="1102"/>
      <c r="S6" s="1102"/>
      <c r="T6" s="1102"/>
    </row>
    <row r="7" spans="1:22" ht="15" customHeight="1">
      <c r="A7" s="1102"/>
      <c r="B7" s="1102"/>
      <c r="C7" s="1102"/>
      <c r="D7" s="1102"/>
      <c r="E7" s="1102"/>
      <c r="F7" s="1102"/>
      <c r="G7" s="1102"/>
      <c r="H7" s="1102"/>
      <c r="I7" s="1102"/>
      <c r="J7" s="1102"/>
      <c r="K7" s="1102"/>
      <c r="L7" s="1102"/>
      <c r="M7" s="1102"/>
      <c r="N7" s="1102"/>
      <c r="O7" s="1102"/>
      <c r="P7" s="1102"/>
      <c r="Q7" s="1102"/>
      <c r="R7" s="1102"/>
      <c r="S7" s="1102"/>
      <c r="T7" s="1102"/>
    </row>
    <row r="8" spans="1:22" ht="7.5" customHeight="1" thickBot="1"/>
    <row r="9" spans="1:22" s="299" customFormat="1" ht="13.5" thickTop="1" thickBot="1">
      <c r="A9" s="1011" t="s">
        <v>1077</v>
      </c>
      <c r="B9" s="1012"/>
      <c r="C9" s="1013"/>
      <c r="D9" s="403"/>
      <c r="E9" s="403"/>
      <c r="F9" s="403"/>
      <c r="G9" s="403"/>
      <c r="H9" s="557"/>
      <c r="I9" s="994" t="s">
        <v>61</v>
      </c>
      <c r="J9" s="995"/>
      <c r="K9" s="995"/>
      <c r="L9" s="996"/>
      <c r="M9" s="558"/>
      <c r="N9" s="557"/>
      <c r="O9" s="1257" t="s">
        <v>32</v>
      </c>
      <c r="P9" s="1258"/>
      <c r="Q9" s="1258"/>
      <c r="R9" s="1259"/>
      <c r="S9" s="557"/>
      <c r="T9" s="453"/>
      <c r="U9" s="216"/>
      <c r="V9" s="216"/>
    </row>
    <row r="10" spans="1:22" ht="15.75" thickTop="1">
      <c r="A10" s="327"/>
      <c r="B10" s="327"/>
      <c r="C10" s="327"/>
      <c r="D10" s="327"/>
      <c r="E10" s="327"/>
      <c r="F10" s="327"/>
      <c r="G10" s="327"/>
      <c r="H10" s="327"/>
      <c r="I10" s="327"/>
      <c r="J10" s="327"/>
      <c r="K10" s="327"/>
      <c r="L10" s="327"/>
      <c r="M10" s="327"/>
      <c r="N10" s="327"/>
      <c r="O10" s="327"/>
      <c r="P10" s="327"/>
      <c r="Q10" s="327"/>
      <c r="R10" s="327"/>
      <c r="S10" s="327"/>
      <c r="T10" s="327"/>
      <c r="U10" s="198"/>
      <c r="V10" s="198"/>
    </row>
    <row r="11" spans="1:22" s="377" customFormat="1" ht="12.75">
      <c r="A11" s="437" t="s">
        <v>1928</v>
      </c>
      <c r="B11" s="852"/>
      <c r="C11" s="852"/>
      <c r="D11" s="852"/>
      <c r="E11" s="852"/>
      <c r="F11" s="852"/>
      <c r="G11" s="852"/>
      <c r="H11" s="852"/>
      <c r="I11" s="327"/>
      <c r="J11" s="454"/>
      <c r="K11" s="454"/>
      <c r="L11" s="327"/>
      <c r="M11" s="327"/>
      <c r="N11" s="327"/>
      <c r="O11" s="327"/>
      <c r="P11" s="327"/>
      <c r="Q11" s="327"/>
      <c r="R11" s="327"/>
      <c r="S11" s="327"/>
      <c r="T11" s="327"/>
      <c r="U11" s="198"/>
      <c r="V11" s="198"/>
    </row>
    <row r="12" spans="1:22">
      <c r="A12" s="844" t="s">
        <v>1235</v>
      </c>
      <c r="B12" s="844"/>
      <c r="C12" s="844"/>
      <c r="D12" s="844"/>
      <c r="E12" s="857"/>
      <c r="F12" s="857"/>
      <c r="G12" s="857"/>
      <c r="H12" s="327"/>
      <c r="I12" s="327"/>
      <c r="J12" s="1231">
        <f>VLOOKUP($I$9,'D_Ch-3'!$B$84:$O$133,MATCH("Entreprises N-1",'D_Ch-3'!$84:$84,0)-1,FALSE)</f>
        <v>88920</v>
      </c>
      <c r="K12" s="1231"/>
      <c r="L12" s="408"/>
      <c r="M12" s="408"/>
      <c r="N12" s="408"/>
      <c r="O12" s="408"/>
      <c r="P12" s="1232">
        <f>VLOOKUP($O$9,'D_Ch-3'!$B$84:$O$133,MATCH("Entreprises N-1",'D_Ch-3'!$84:$84,0)-1,FALSE)</f>
        <v>88417</v>
      </c>
      <c r="Q12" s="1232"/>
      <c r="R12" s="403"/>
      <c r="S12" s="403"/>
      <c r="T12" s="403"/>
      <c r="U12" s="198"/>
      <c r="V12" s="198"/>
    </row>
    <row r="13" spans="1:22">
      <c r="A13" s="844" t="s">
        <v>709</v>
      </c>
      <c r="B13" s="844"/>
      <c r="C13" s="844"/>
      <c r="D13" s="844"/>
      <c r="E13" s="844"/>
      <c r="F13" s="857"/>
      <c r="G13" s="857"/>
      <c r="H13" s="327"/>
      <c r="I13" s="327"/>
      <c r="J13" s="1231">
        <f>VLOOKUP($I$9,'D_Ch-3'!$B$84:$O$133,MATCH("Créations d'entr N-1",'D_Ch-3'!$84:$84,0)-1,FALSE)</f>
        <v>14628</v>
      </c>
      <c r="K13" s="1231"/>
      <c r="L13" s="403"/>
      <c r="M13" s="1228">
        <f>(VLOOKUP($I$9,'D_Ch-3'!$B$84:$O$133,MATCH("Créations d'entr N-1",'D_Ch-3'!$84:$84,0)-1,FALSE)-VLOOKUP($I$9,'D_Ch-3'!$B$84:$O$133,MATCH("Créations d'entr N-2",'D_Ch-3'!$84:$84,0)-1,FALSE))/VLOOKUP($I$9,'D_Ch-3'!$B$84:$O$133,MATCH("Créations d'entr N-2",'D_Ch-3'!$84:$84,0)-1,FALSE)</f>
        <v>7.5509153738695683E-2</v>
      </c>
      <c r="N13" s="1228"/>
      <c r="O13" s="403"/>
      <c r="P13" s="1232">
        <f>VLOOKUP($O$9,'D_Ch-3'!$B$84:$O$133,MATCH("Créations d'entr N-1",'D_Ch-3'!$84:$84,0)-1,FALSE)</f>
        <v>13027</v>
      </c>
      <c r="Q13" s="1232"/>
      <c r="R13" s="403"/>
      <c r="S13" s="1228">
        <f>(VLOOKUP($O$9,'D_Ch-3'!$B$84:$O$133,MATCH("Créations d'entr N-1",'D_Ch-3'!$84:$84,0)-1,FALSE)-VLOOKUP($O$9,'D_Ch-3'!$B$84:$O$133,MATCH("Créations d'entr N-2",'D_Ch-3'!$84:$84,0)-1,FALSE))/VLOOKUP($O$9,'D_Ch-3'!$B$84:$O$133,MATCH("Créations d'entr N-2",'D_Ch-3'!$84:$84,0)-1,FALSE)</f>
        <v>8.9396220103696272E-2</v>
      </c>
      <c r="T13" s="1228"/>
      <c r="U13" s="198"/>
      <c r="V13" s="198"/>
    </row>
    <row r="14" spans="1:22">
      <c r="A14" s="844" t="s">
        <v>702</v>
      </c>
      <c r="B14" s="844"/>
      <c r="C14" s="844"/>
      <c r="D14" s="844"/>
      <c r="E14" s="844"/>
      <c r="F14" s="844"/>
      <c r="G14" s="844"/>
      <c r="H14" s="400"/>
      <c r="I14" s="400"/>
      <c r="J14" s="1255" t="str">
        <f>IFERROR(VLOOKUP($I$9,'D_Ch-3'!$B$60:$N$78,MATCH("Part micro-entrepreneur N-1",'D_Ch-3'!$60:$60,0)-1,FALSE),"NC")</f>
        <v>NC</v>
      </c>
      <c r="K14" s="1255"/>
      <c r="L14" s="1255"/>
      <c r="M14" s="1228" t="e">
        <f>(VLOOKUP($I$9,'D_Ch-3'!$B$60:$N$78,MATCH("Part micro-entrepreneur N-1",'D_Ch-3'!$60:$60,0)-1,FALSE)-(VLOOKUP($I$9,'D_Ch-3'!$B$60:$N$78,MATCH("Part micro-entrepreneur N-2",'D_Ch-3'!$60:$60,0)-1,FALSE))/VLOOKUP($I$9,'D_Ch-3'!$B$60:$N$78,MATCH("Part micro-entrepreneur N-2",'D_Ch-3'!$60:$60,0)-1,FALSE))</f>
        <v>#N/A</v>
      </c>
      <c r="N14" s="1228"/>
      <c r="O14" s="455"/>
      <c r="P14" s="1256" t="str">
        <f>IFERROR(VLOOKUP($O$9,'D_Ch-3'!$B$60:$N$78,MATCH("Part micro-entrepreneur N-1",'D_Ch-3'!$60:$60,0)-1,FALSE),"NC")</f>
        <v>NC</v>
      </c>
      <c r="Q14" s="1256"/>
      <c r="R14" s="1256"/>
      <c r="S14" s="1253" t="e">
        <f>(VLOOKUP($O$9,'D_Ch-3'!$B$60:$N$78,MATCH("Part micro-entrepreneur N-1",'D_Ch-3'!$60:$60,0)-1,FALSE)-(VLOOKUP($O$9,'D_Ch-3'!$B$60:$N$78,MATCH("Part micro-entrepreneur N-2",'D_Ch-3'!$60:$60,0)-1,FALSE))/VLOOKUP($O$9,'D_Ch-3'!$B$60:$N$78,MATCH("Part micro-entrepreneur N-2",'D_Ch-3'!$60:$60,0)-1,FALSE))</f>
        <v>#N/A</v>
      </c>
      <c r="T14" s="1253"/>
      <c r="U14" s="198"/>
      <c r="V14" s="198"/>
    </row>
    <row r="15" spans="1:22">
      <c r="A15" s="456" t="s">
        <v>1779</v>
      </c>
      <c r="B15" s="327"/>
      <c r="C15" s="327"/>
      <c r="D15" s="327"/>
      <c r="E15" s="327"/>
      <c r="F15" s="327"/>
      <c r="G15" s="327"/>
      <c r="H15" s="327"/>
      <c r="I15" s="327"/>
      <c r="J15" s="403"/>
      <c r="K15" s="403"/>
      <c r="L15" s="403"/>
      <c r="M15" s="403"/>
      <c r="N15" s="403"/>
      <c r="O15" s="403"/>
      <c r="P15" s="403"/>
      <c r="Q15" s="403"/>
      <c r="R15" s="403"/>
      <c r="S15" s="403"/>
      <c r="T15" s="403"/>
      <c r="U15" s="198"/>
      <c r="V15" s="198"/>
    </row>
    <row r="16" spans="1:22">
      <c r="A16" s="844" t="s">
        <v>683</v>
      </c>
      <c r="B16" s="844"/>
      <c r="C16" s="844"/>
      <c r="D16" s="844"/>
      <c r="E16" s="855"/>
      <c r="F16" s="405"/>
      <c r="G16" s="327"/>
      <c r="H16" s="327"/>
      <c r="I16" s="327"/>
      <c r="J16" s="1234">
        <f>VLOOKUP($I$9,'D_Ch-3'!$B$84:$Z$133,MATCH("Taux d'entrepreunariat N-1",'D_Ch-3'!$84:$84,0)-1,FALSE)</f>
        <v>2.50743579929084E-2</v>
      </c>
      <c r="K16" s="1234"/>
      <c r="L16" s="457"/>
      <c r="M16" s="1228">
        <f>(VLOOKUP($I$9,'D_Ch-3'!$B$84:$Z$133,MATCH("Taux d'entrepreunariat N-1",'D_Ch-3'!$84:$84,0)-1,FALSE)-VLOOKUP($I$9,'D_Ch-3'!$B$84:$Z$133,MATCH("Taux d'entrepreunariat N-2",'D_Ch-3'!$84:$84,0)-1,FALSE))/VLOOKUP($I$9,'D_Ch-3'!$B$84:$Z$133,MATCH("Taux d'entrepreunariat N-2",'D_Ch-3'!$84:$84,0)-1,FALSE)</f>
        <v>7.55091537386956E-2</v>
      </c>
      <c r="N16" s="1228"/>
      <c r="O16" s="403"/>
      <c r="P16" s="1234">
        <f>VLOOKUP($O$9,'D_Ch-3'!$B$84:$Z$133,MATCH("Taux d'entrepreunariat N-1",'D_Ch-3'!$84:$84,0)-1,FALSE)</f>
        <v>1.964136280972003E-2</v>
      </c>
      <c r="Q16" s="1234"/>
      <c r="R16" s="457"/>
      <c r="S16" s="1253">
        <f>(VLOOKUP($O$9,'D_Ch-3'!$B$84:$Z$133,MATCH("Taux d'entrepreunariat N-1",'D_Ch-3'!$84:$84,0)-1,FALSE)-VLOOKUP($O$9,'D_Ch-3'!$B$84:$Z$133,MATCH("Taux d'entrepreunariat N-2",'D_Ch-3'!$84:$84,0)-1,FALSE))/VLOOKUP($O$9,'D_Ch-3'!$B$84:$Z$133,MATCH("Taux d'entrepreunariat N-2",'D_Ch-3'!$84:$84,0)-1,FALSE)</f>
        <v>8.9396220103696383E-2</v>
      </c>
      <c r="T16" s="1253"/>
      <c r="U16" s="198"/>
      <c r="V16" s="198"/>
    </row>
    <row r="17" spans="1:22">
      <c r="A17" s="405"/>
      <c r="B17" s="405"/>
      <c r="C17" s="405"/>
      <c r="D17" s="405"/>
      <c r="E17" s="405"/>
      <c r="F17" s="405"/>
      <c r="G17" s="327"/>
      <c r="H17" s="327"/>
      <c r="I17" s="327"/>
      <c r="J17" s="403"/>
      <c r="K17" s="403"/>
      <c r="L17" s="403"/>
      <c r="M17" s="403"/>
      <c r="N17" s="403"/>
      <c r="O17" s="403"/>
      <c r="P17" s="403"/>
      <c r="Q17" s="403"/>
      <c r="R17" s="403"/>
      <c r="S17" s="403"/>
      <c r="T17" s="403"/>
      <c r="U17" s="198"/>
      <c r="V17" s="198"/>
    </row>
    <row r="18" spans="1:22">
      <c r="A18" s="884" t="s">
        <v>684</v>
      </c>
      <c r="B18" s="884"/>
      <c r="C18" s="884"/>
      <c r="D18" s="884"/>
      <c r="E18" s="860"/>
      <c r="F18" s="738"/>
      <c r="G18" s="738"/>
      <c r="H18" s="739"/>
      <c r="I18" s="739"/>
      <c r="J18" s="1254" t="str">
        <f>VLOOKUP($I$9,'D_Ch-3'!$B$84:$Z$133,MATCH("Part Jeunes entreprises N-1",'D_Ch-3'!$84:$84,0)-1,FALSE)</f>
        <v>NC</v>
      </c>
      <c r="K18" s="1254"/>
      <c r="L18" s="738"/>
      <c r="M18" s="740"/>
      <c r="N18" s="740"/>
      <c r="O18" s="738"/>
      <c r="P18" s="1254" t="str">
        <f>VLOOKUP($O$9,'D_Ch-3'!$B$84:$Z$133,MATCH("Part Jeunes entreprises N-1",'D_Ch-3'!$84:$84,0)-1,FALSE)</f>
        <v>NC</v>
      </c>
      <c r="Q18" s="1254"/>
      <c r="R18" s="738"/>
      <c r="S18" s="740"/>
      <c r="T18" s="740"/>
      <c r="U18" s="198"/>
      <c r="V18" s="198"/>
    </row>
    <row r="19" spans="1:22">
      <c r="A19" s="884" t="s">
        <v>685</v>
      </c>
      <c r="B19" s="884"/>
      <c r="C19" s="884"/>
      <c r="D19" s="884"/>
      <c r="E19" s="860"/>
      <c r="F19" s="738"/>
      <c r="G19" s="738"/>
      <c r="H19" s="739"/>
      <c r="I19" s="739"/>
      <c r="J19" s="1254" t="str">
        <f>VLOOKUP($I$9,'D_Ch-3'!$B$84:$Z$133,MATCH("Taux survie_N-1",'D_Ch-3'!$84:$84,0)-1,FALSE)</f>
        <v>NC</v>
      </c>
      <c r="K19" s="1254"/>
      <c r="L19" s="738"/>
      <c r="M19" s="740"/>
      <c r="N19" s="740"/>
      <c r="O19" s="738"/>
      <c r="P19" s="1254" t="str">
        <f>VLOOKUP($O$9,'D_Ch-3'!$B$84:$Z$133,MATCH("Taux survie_N-1",'D_Ch-3'!$84:$84,0)-1,FALSE)</f>
        <v>NC</v>
      </c>
      <c r="Q19" s="1254"/>
      <c r="R19" s="738"/>
      <c r="S19" s="740"/>
      <c r="T19" s="740"/>
      <c r="U19" s="198"/>
      <c r="V19" s="198"/>
    </row>
    <row r="20" spans="1:22" ht="15" customHeight="1">
      <c r="A20" s="405"/>
      <c r="B20" s="405"/>
      <c r="C20" s="405"/>
      <c r="D20" s="405"/>
      <c r="E20" s="405"/>
      <c r="F20" s="405"/>
      <c r="G20" s="327"/>
      <c r="H20" s="327"/>
      <c r="I20" s="327"/>
      <c r="J20" s="327"/>
      <c r="K20" s="327"/>
      <c r="L20" s="327"/>
      <c r="M20" s="327"/>
      <c r="N20" s="327"/>
      <c r="O20" s="327"/>
      <c r="P20" s="327"/>
      <c r="Q20" s="327"/>
      <c r="R20" s="327"/>
      <c r="S20" s="327"/>
      <c r="T20" s="327"/>
      <c r="U20" s="198"/>
      <c r="V20" s="198"/>
    </row>
    <row r="21" spans="1:22" ht="15" customHeight="1">
      <c r="A21" s="437" t="s">
        <v>1929</v>
      </c>
      <c r="B21" s="852"/>
      <c r="C21" s="852"/>
      <c r="D21" s="852"/>
      <c r="E21" s="852"/>
      <c r="F21" s="852"/>
      <c r="G21" s="852"/>
      <c r="H21" s="852"/>
      <c r="I21" s="852"/>
      <c r="J21" s="327"/>
      <c r="K21" s="327"/>
      <c r="L21" s="327"/>
      <c r="M21" s="327"/>
      <c r="N21" s="327"/>
      <c r="O21" s="327"/>
      <c r="P21" s="327"/>
      <c r="Q21" s="327"/>
      <c r="R21" s="327"/>
      <c r="S21" s="327"/>
      <c r="T21" s="327"/>
      <c r="U21" s="198"/>
      <c r="V21" s="198"/>
    </row>
    <row r="22" spans="1:22">
      <c r="A22" s="844" t="s">
        <v>1236</v>
      </c>
      <c r="B22" s="844"/>
      <c r="C22" s="844"/>
      <c r="D22" s="844"/>
      <c r="E22" s="857"/>
      <c r="F22" s="403"/>
      <c r="G22" s="403"/>
      <c r="H22" s="403"/>
      <c r="I22" s="403"/>
      <c r="J22" s="1231">
        <f>VLOOKUP($I$9,'D_Ch-3'!$B$84:$O$133,MATCH("Etablissements N-1",'D_Ch-3'!$84:$84,0)-1,FALSE)</f>
        <v>101488</v>
      </c>
      <c r="K22" s="1231"/>
      <c r="L22" s="403"/>
      <c r="M22" s="403"/>
      <c r="N22" s="403"/>
      <c r="O22" s="403"/>
      <c r="P22" s="1232">
        <f>VLOOKUP($O$9,'D_Ch-3'!$B$84:$O$133,MATCH("Etablissements N-1",'D_Ch-3'!$84:$84,0)-1,FALSE)</f>
        <v>100874</v>
      </c>
      <c r="Q22" s="1232"/>
      <c r="R22" s="403"/>
      <c r="S22" s="403"/>
      <c r="T22" s="403"/>
      <c r="U22" s="198"/>
      <c r="V22" s="198"/>
    </row>
    <row r="23" spans="1:22">
      <c r="A23" s="844" t="s">
        <v>708</v>
      </c>
      <c r="B23" s="844"/>
      <c r="C23" s="844"/>
      <c r="D23" s="844"/>
      <c r="E23" s="403"/>
      <c r="F23" s="403"/>
      <c r="G23" s="403"/>
      <c r="H23" s="403"/>
      <c r="I23" s="403"/>
      <c r="J23" s="1231">
        <f>VLOOKUP($I$9,'D_Ch-3'!$B$84:$O$133,MATCH("Créations d'ets N-1",'D_Ch-3'!$84:$84,0)-1,FALSE)</f>
        <v>16493</v>
      </c>
      <c r="K23" s="1231"/>
      <c r="L23" s="458"/>
      <c r="M23" s="1228">
        <f>(VLOOKUP($I$9,'D_Ch-3'!$B$84:$O$133,MATCH("Créations d'ets N-1",'D_Ch-3'!$84:$84,0)-1,FALSE)-VLOOKUP($I$9,'D_Ch-3'!$B$84:$O$133,MATCH("Créations d'ets N-2",'D_Ch-3'!$84:$84,0)-1,FALSE))/VLOOKUP($I$9,'D_Ch-3'!$B$84:$O$133,MATCH("Créations d'ets N-2",'D_Ch-3'!$84:$84,0)-1,FALSE)</f>
        <v>7.3972781142150154E-2</v>
      </c>
      <c r="N23" s="1228"/>
      <c r="O23" s="403"/>
      <c r="P23" s="1232">
        <f>VLOOKUP($O$9,'D_Ch-3'!$B$84:$O$133,MATCH("Créations d'ets N-1",'D_Ch-3'!$84:$84,0)-1,FALSE)</f>
        <v>14657</v>
      </c>
      <c r="Q23" s="1232"/>
      <c r="R23" s="403"/>
      <c r="S23" s="1228">
        <f>(VLOOKUP($O$9,'D_Ch-3'!$B$84:$O$133,MATCH("Créations d'ets N-1",'D_Ch-3'!$84:$84,0)-1,FALSE)-VLOOKUP($O$9,'D_Ch-3'!$B$84:$O$133,MATCH("Créations d'ets N-2",'D_Ch-3'!$84:$84,0)-1,FALSE))/VLOOKUP($O$9,'D_Ch-3'!$B$84:$O$133,MATCH("Créations d'ets N-2",'D_Ch-3'!$84:$84,0)-1,FALSE)</f>
        <v>9.8067126161222651E-2</v>
      </c>
      <c r="T23" s="1228"/>
      <c r="U23" s="198"/>
      <c r="V23" s="198"/>
    </row>
    <row r="24" spans="1:22">
      <c r="A24" s="403"/>
      <c r="B24" s="403"/>
      <c r="C24" s="403"/>
      <c r="D24" s="403"/>
      <c r="E24" s="403"/>
      <c r="F24" s="403"/>
      <c r="G24" s="403"/>
      <c r="H24" s="403"/>
      <c r="I24" s="403"/>
      <c r="J24" s="403"/>
      <c r="K24" s="403"/>
      <c r="L24" s="458"/>
      <c r="M24" s="458"/>
      <c r="N24" s="403"/>
      <c r="O24" s="403"/>
      <c r="P24" s="403"/>
      <c r="Q24" s="403"/>
      <c r="R24" s="403"/>
      <c r="S24" s="403"/>
      <c r="T24" s="403"/>
      <c r="U24" s="198"/>
      <c r="V24" s="198"/>
    </row>
    <row r="25" spans="1:22">
      <c r="A25" s="412" t="s">
        <v>1721</v>
      </c>
      <c r="B25" s="327"/>
      <c r="C25" s="327"/>
      <c r="D25" s="327"/>
      <c r="E25" s="327"/>
      <c r="F25" s="327"/>
      <c r="G25" s="327"/>
      <c r="H25" s="327"/>
      <c r="I25" s="327"/>
      <c r="J25" s="327"/>
      <c r="K25" s="327"/>
      <c r="L25" s="327"/>
      <c r="M25" s="327"/>
      <c r="N25" s="327"/>
      <c r="O25" s="327"/>
      <c r="P25" s="327"/>
      <c r="Q25" s="327"/>
      <c r="R25" s="327"/>
      <c r="S25" s="327"/>
      <c r="T25" s="327"/>
      <c r="U25" s="198"/>
      <c r="V25" s="198"/>
    </row>
    <row r="26" spans="1:22">
      <c r="A26" s="406"/>
      <c r="B26" s="406"/>
      <c r="C26" s="406"/>
      <c r="D26" s="406"/>
      <c r="E26" s="406"/>
      <c r="F26" s="426"/>
      <c r="G26" s="426"/>
      <c r="H26" s="426"/>
      <c r="I26" s="426"/>
      <c r="J26" s="426"/>
      <c r="K26" s="426"/>
      <c r="L26" s="327"/>
      <c r="M26" s="327"/>
      <c r="N26" s="327"/>
      <c r="O26" s="327"/>
      <c r="P26" s="327"/>
      <c r="Q26" s="327"/>
      <c r="R26" s="327"/>
      <c r="S26" s="327"/>
      <c r="T26" s="327"/>
      <c r="U26" s="198"/>
      <c r="V26" s="198"/>
    </row>
    <row r="27" spans="1:22" s="299" customFormat="1" ht="12">
      <c r="A27" s="407"/>
      <c r="B27" s="407" t="s">
        <v>454</v>
      </c>
      <c r="C27" s="407" t="s">
        <v>456</v>
      </c>
      <c r="D27" s="407" t="s">
        <v>277</v>
      </c>
      <c r="E27" s="407" t="s">
        <v>730</v>
      </c>
      <c r="F27" s="407" t="s">
        <v>1196</v>
      </c>
      <c r="G27" s="407" t="s">
        <v>432</v>
      </c>
      <c r="H27" s="459"/>
      <c r="I27" s="1251" t="str">
        <f>I9</f>
        <v>AU Bordeaux</v>
      </c>
      <c r="J27" s="1251"/>
      <c r="K27" s="1251"/>
      <c r="L27" s="1251"/>
      <c r="M27" s="403"/>
      <c r="N27" s="403"/>
      <c r="O27" s="460"/>
      <c r="P27" s="1252" t="str">
        <f>O9</f>
        <v>AU Toulouse</v>
      </c>
      <c r="Q27" s="1252"/>
      <c r="R27" s="1252"/>
      <c r="S27" s="1252"/>
      <c r="T27" s="403"/>
      <c r="U27" s="216"/>
      <c r="V27" s="216"/>
    </row>
    <row r="28" spans="1:22">
      <c r="A28" s="426" t="str">
        <f>I9</f>
        <v>AU Bordeaux</v>
      </c>
      <c r="B28" s="426">
        <f>VLOOKUP($I$9,'D_Ch-3'!$B$5:$Y$54,MATCH("Ets actifs agriculture N-1",'D_Ch-3'!$5:$5,0)-1,FALSE)</f>
        <v>3809</v>
      </c>
      <c r="C28" s="426">
        <f>VLOOKUP($I$9,'D_Ch-3'!$B$5:$Y$54,MATCH("Ets actifs industrie N-1",'D_Ch-3'!$5:$5,0)-1,FALSE)</f>
        <v>5992</v>
      </c>
      <c r="D28" s="426">
        <f>VLOOKUP($I$9,'D_Ch-3'!$B$5:$Y$54,MATCH("Ets actifs construction N-1",'D_Ch-3'!$5:$5,0)-1,FALSE)</f>
        <v>14764</v>
      </c>
      <c r="E28" s="426">
        <f>VLOOKUP($I$9,'D_Ch-3'!$B$5:$Y$54,MATCH("Ets actifs Services N-1",'D_Ch-3'!$5:$5,0)-1,FALSE)</f>
        <v>64123</v>
      </c>
      <c r="F28" s="426">
        <f>VLOOKUP($I$9,'D_Ch-3'!$B$5:$Y$54,MATCH("Ets actifs commerce &amp; rep auto N-1",'D_Ch-3'!$5:$5,0)-1,FALSE)</f>
        <v>21776</v>
      </c>
      <c r="G28" s="426">
        <f>VLOOKUP($I$9,'D_Ch-3'!$B$5:$Y$54,MATCH("Ets actifs adm publique N-1",'D_Ch-3'!$5:$5,0)-1,FALSE)</f>
        <v>19413</v>
      </c>
      <c r="H28" s="426"/>
      <c r="I28" s="426"/>
      <c r="J28" s="426"/>
      <c r="K28" s="426"/>
      <c r="L28" s="327"/>
      <c r="M28" s="327"/>
      <c r="N28" s="327"/>
      <c r="O28" s="327"/>
      <c r="P28" s="327"/>
      <c r="Q28" s="327"/>
      <c r="R28" s="327"/>
      <c r="S28" s="327"/>
      <c r="T28" s="327"/>
      <c r="U28" s="198"/>
      <c r="V28" s="198"/>
    </row>
    <row r="29" spans="1:22">
      <c r="A29" s="426" t="str">
        <f>O9</f>
        <v>AU Toulouse</v>
      </c>
      <c r="B29" s="426">
        <f>VLOOKUP($O$9,'D_Ch-3'!$B$5:$Y$54,MATCH("Ets actifs agriculture N-1",'D_Ch-3'!$5:$5,0)-1,FALSE)</f>
        <v>4243</v>
      </c>
      <c r="C29" s="426">
        <f>VLOOKUP($O$9,'D_Ch-3'!$B$5:$Y$54,MATCH("Ets actifs industrie N-1",'D_Ch-3'!$5:$5,0)-1,FALSE)</f>
        <v>6240</v>
      </c>
      <c r="D29" s="426">
        <f>VLOOKUP($O$9,'D_Ch-3'!$B$5:$Y$54,MATCH("Ets actifs construction N-1",'D_Ch-3'!$5:$5,0)-1,FALSE)</f>
        <v>15480</v>
      </c>
      <c r="E29" s="426">
        <f>VLOOKUP($O$9,'D_Ch-3'!$B$5:$Y$54,MATCH("Ets actifs Services N-1",'D_Ch-3'!$5:$5,0)-1,FALSE)</f>
        <v>66248</v>
      </c>
      <c r="F29" s="426">
        <f>VLOOKUP($O$9,'D_Ch-3'!$B$5:$Y$54,MATCH("Ets actifs commerce &amp; rep auto N-1",'D_Ch-3'!$5:$5,0)-1,FALSE)</f>
        <v>19468</v>
      </c>
      <c r="G29" s="426">
        <f>VLOOKUP($O$9,'D_Ch-3'!$B$5:$Y$54,MATCH("Ets actifs adm publique N-1",'D_Ch-3'!$5:$5,0)-1,FALSE)</f>
        <v>21937</v>
      </c>
      <c r="H29" s="426"/>
      <c r="I29" s="426"/>
      <c r="J29" s="426"/>
      <c r="K29" s="426"/>
      <c r="L29" s="327"/>
      <c r="M29" s="327"/>
      <c r="N29" s="327"/>
      <c r="O29" s="327"/>
      <c r="P29" s="327"/>
      <c r="Q29" s="327"/>
      <c r="R29" s="327"/>
      <c r="S29" s="327"/>
      <c r="T29" s="327"/>
      <c r="U29" s="198"/>
      <c r="V29" s="198"/>
    </row>
    <row r="30" spans="1:22">
      <c r="A30" s="426"/>
      <c r="B30" s="426"/>
      <c r="C30" s="426"/>
      <c r="D30" s="426"/>
      <c r="E30" s="426"/>
      <c r="F30" s="426"/>
      <c r="G30" s="426"/>
      <c r="H30" s="426"/>
      <c r="I30" s="426"/>
      <c r="J30" s="426"/>
      <c r="K30" s="426"/>
      <c r="L30" s="327"/>
      <c r="M30" s="327"/>
      <c r="N30" s="327"/>
      <c r="O30" s="327"/>
      <c r="P30" s="327"/>
      <c r="Q30" s="327"/>
      <c r="R30" s="327"/>
      <c r="S30" s="327"/>
      <c r="T30" s="327"/>
      <c r="U30" s="198"/>
      <c r="V30" s="198"/>
    </row>
    <row r="31" spans="1:22">
      <c r="A31" s="327"/>
      <c r="B31" s="327"/>
      <c r="C31" s="327"/>
      <c r="D31" s="327"/>
      <c r="E31" s="327"/>
      <c r="F31" s="327"/>
      <c r="G31" s="327"/>
      <c r="H31" s="327"/>
      <c r="I31" s="327"/>
      <c r="J31" s="327"/>
      <c r="K31" s="327"/>
      <c r="L31" s="327"/>
      <c r="M31" s="327"/>
      <c r="N31" s="327"/>
      <c r="O31" s="327"/>
      <c r="P31" s="327"/>
      <c r="Q31" s="327"/>
      <c r="R31" s="327"/>
      <c r="S31" s="327"/>
      <c r="T31" s="327"/>
      <c r="U31" s="198"/>
      <c r="V31" s="198"/>
    </row>
    <row r="32" spans="1:22">
      <c r="A32" s="327"/>
      <c r="B32" s="327"/>
      <c r="C32" s="327"/>
      <c r="D32" s="327"/>
      <c r="E32" s="327"/>
      <c r="F32" s="327"/>
      <c r="G32" s="327"/>
      <c r="H32" s="327"/>
      <c r="I32" s="327"/>
      <c r="J32" s="327"/>
      <c r="K32" s="327"/>
      <c r="L32" s="327"/>
      <c r="M32" s="327"/>
      <c r="N32" s="327"/>
      <c r="O32" s="327"/>
      <c r="P32" s="327"/>
      <c r="Q32" s="327"/>
      <c r="R32" s="327"/>
      <c r="S32" s="327"/>
      <c r="T32" s="327"/>
      <c r="U32" s="198"/>
      <c r="V32" s="198"/>
    </row>
    <row r="33" spans="1:22">
      <c r="A33" s="327"/>
      <c r="B33" s="327"/>
      <c r="C33" s="327"/>
      <c r="D33" s="327"/>
      <c r="E33" s="327"/>
      <c r="F33" s="327"/>
      <c r="G33" s="327"/>
      <c r="H33" s="327"/>
      <c r="I33" s="327"/>
      <c r="J33" s="327"/>
      <c r="K33" s="327"/>
      <c r="L33" s="327"/>
      <c r="M33" s="327"/>
      <c r="N33" s="327"/>
      <c r="O33" s="327"/>
      <c r="P33" s="327"/>
      <c r="Q33" s="327"/>
      <c r="R33" s="327"/>
      <c r="S33" s="327"/>
      <c r="T33" s="327"/>
      <c r="U33" s="198"/>
      <c r="V33" s="198"/>
    </row>
    <row r="34" spans="1:22">
      <c r="A34" s="327"/>
      <c r="B34" s="327"/>
      <c r="C34" s="327"/>
      <c r="D34" s="327"/>
      <c r="E34" s="327"/>
      <c r="F34" s="327"/>
      <c r="G34" s="327"/>
      <c r="H34" s="327"/>
      <c r="I34" s="327"/>
      <c r="J34" s="327"/>
      <c r="K34" s="327"/>
      <c r="L34" s="327"/>
      <c r="M34" s="327"/>
      <c r="N34" s="327"/>
      <c r="O34" s="327"/>
      <c r="P34" s="327"/>
      <c r="Q34" s="327"/>
      <c r="R34" s="327"/>
      <c r="S34" s="327"/>
      <c r="T34" s="327"/>
      <c r="U34" s="198"/>
      <c r="V34" s="198"/>
    </row>
    <row r="35" spans="1:22">
      <c r="A35" s="327"/>
      <c r="B35" s="327"/>
      <c r="C35" s="327"/>
      <c r="D35" s="327"/>
      <c r="E35" s="327"/>
      <c r="F35" s="327"/>
      <c r="G35" s="327"/>
      <c r="H35" s="327"/>
      <c r="I35" s="327"/>
      <c r="J35" s="327"/>
      <c r="K35" s="327"/>
      <c r="L35" s="327"/>
      <c r="M35" s="327"/>
      <c r="N35" s="327"/>
      <c r="O35" s="327"/>
      <c r="P35" s="327"/>
      <c r="Q35" s="327"/>
      <c r="R35" s="327"/>
      <c r="S35" s="327"/>
      <c r="T35" s="327"/>
      <c r="U35" s="198"/>
      <c r="V35" s="198"/>
    </row>
    <row r="36" spans="1:22">
      <c r="A36" s="327"/>
      <c r="B36" s="327"/>
      <c r="C36" s="327"/>
      <c r="D36" s="327"/>
      <c r="E36" s="327"/>
      <c r="F36" s="327"/>
      <c r="G36" s="327"/>
      <c r="H36" s="327"/>
      <c r="I36" s="327"/>
      <c r="J36" s="327"/>
      <c r="K36" s="327"/>
      <c r="L36" s="327"/>
      <c r="M36" s="327"/>
      <c r="N36" s="327"/>
      <c r="O36" s="327"/>
      <c r="P36" s="327"/>
      <c r="Q36" s="327"/>
      <c r="R36" s="327"/>
      <c r="S36" s="327"/>
      <c r="T36" s="327"/>
      <c r="U36" s="198"/>
      <c r="V36" s="198"/>
    </row>
    <row r="37" spans="1:22">
      <c r="A37" s="327"/>
      <c r="B37" s="327"/>
      <c r="C37" s="327"/>
      <c r="D37" s="327"/>
      <c r="E37" s="327"/>
      <c r="F37" s="327"/>
      <c r="G37" s="327"/>
      <c r="H37" s="327"/>
      <c r="I37" s="327"/>
      <c r="J37" s="327"/>
      <c r="K37" s="327"/>
      <c r="L37" s="327"/>
      <c r="M37" s="327"/>
      <c r="N37" s="327"/>
      <c r="O37" s="327"/>
      <c r="P37" s="327"/>
      <c r="Q37" s="327"/>
      <c r="R37" s="327"/>
      <c r="S37" s="327"/>
      <c r="T37" s="327"/>
      <c r="U37" s="198"/>
      <c r="V37" s="198"/>
    </row>
    <row r="38" spans="1:22">
      <c r="A38" s="310"/>
      <c r="B38" s="327"/>
      <c r="C38" s="327"/>
      <c r="D38" s="327"/>
      <c r="E38" s="327"/>
      <c r="F38" s="327"/>
      <c r="G38" s="327"/>
      <c r="H38" s="327"/>
      <c r="I38" s="327"/>
      <c r="J38" s="327"/>
      <c r="K38" s="327"/>
      <c r="L38" s="327"/>
      <c r="M38" s="327"/>
      <c r="N38" s="327"/>
      <c r="O38" s="327"/>
      <c r="P38" s="327"/>
      <c r="Q38" s="327"/>
      <c r="R38" s="327"/>
      <c r="S38" s="327"/>
      <c r="T38" s="327"/>
      <c r="U38" s="198"/>
      <c r="V38" s="198"/>
    </row>
    <row r="39" spans="1:22">
      <c r="A39" s="412" t="s">
        <v>1722</v>
      </c>
      <c r="B39" s="310"/>
      <c r="C39" s="310"/>
      <c r="D39" s="310"/>
      <c r="E39" s="310"/>
      <c r="F39" s="310"/>
      <c r="G39" s="310"/>
      <c r="H39" s="310"/>
      <c r="I39" s="310"/>
      <c r="J39" s="426"/>
      <c r="K39" s="327"/>
      <c r="L39" s="327"/>
      <c r="M39" s="327"/>
      <c r="N39" s="327"/>
      <c r="O39" s="327"/>
      <c r="P39" s="310"/>
      <c r="Q39" s="327"/>
      <c r="R39" s="327"/>
      <c r="S39" s="327"/>
      <c r="T39" s="327"/>
      <c r="U39" s="198"/>
      <c r="V39" s="198"/>
    </row>
    <row r="40" spans="1:22">
      <c r="A40" s="399"/>
      <c r="B40" s="399" t="s">
        <v>732</v>
      </c>
      <c r="C40" s="399" t="s">
        <v>733</v>
      </c>
      <c r="D40" s="399" t="s">
        <v>734</v>
      </c>
      <c r="E40" s="399" t="s">
        <v>735</v>
      </c>
      <c r="F40" s="399" t="s">
        <v>736</v>
      </c>
      <c r="G40" s="399" t="s">
        <v>737</v>
      </c>
      <c r="H40" s="426"/>
      <c r="I40" s="426"/>
      <c r="J40" s="426"/>
      <c r="K40" s="426"/>
      <c r="L40" s="426"/>
      <c r="M40" s="327"/>
      <c r="N40" s="327"/>
      <c r="O40" s="327"/>
      <c r="P40" s="327"/>
      <c r="Q40" s="327"/>
      <c r="R40" s="327"/>
      <c r="S40" s="327"/>
      <c r="T40" s="327"/>
      <c r="U40" s="198"/>
      <c r="V40" s="198"/>
    </row>
    <row r="41" spans="1:22" s="299" customFormat="1" ht="12">
      <c r="A41" s="407" t="str">
        <f>I9</f>
        <v>AU Bordeaux</v>
      </c>
      <c r="B41" s="407">
        <f>VLOOKUP($I$9,'D_Ch-3'!$B$5:$Y$54,MATCH("Ets actifs de 0 salarié N-1",'D_Ch-3'!$5:$5,0)-1,FALSE)</f>
        <v>94533</v>
      </c>
      <c r="C41" s="407">
        <f>VLOOKUP($I$9,'D_Ch-3'!$B$5:$Y$54,MATCH("Ets actifs de 1 à 9 salariés N-1",'D_Ch-3'!$5:$5,0)-1,FALSE)</f>
        <v>27774</v>
      </c>
      <c r="D41" s="407">
        <f>VLOOKUP($I$9,'D_Ch-3'!$B$5:$Y$54,MATCH("Ets actifs de 10 à 49 salariés N-1",'D_Ch-3'!$5:$5,0)-1,FALSE)</f>
        <v>6102</v>
      </c>
      <c r="E41" s="407">
        <f>VLOOKUP($I$9,'D_Ch-3'!$B$5:$Y$54,MATCH("Ets actifs de 50 à 199 salariés N-1",'D_Ch-3'!$5:$5,0)-1,FALSE)</f>
        <v>1234</v>
      </c>
      <c r="F41" s="407">
        <f>VLOOKUP($I$9,'D_Ch-3'!$B$5:$Y$54,MATCH("Ets actifs de 200 à 499 salariés N-1",'D_Ch-3'!$5:$5,0)-1,FALSE)</f>
        <v>163</v>
      </c>
      <c r="G41" s="407">
        <f>VLOOKUP($I$9,'D_Ch-3'!$B$5:$Y$54,MATCH("Ets actifs de 500 salariés ou plus N-1",'D_Ch-3'!$5:$5,0)-1,FALSE)</f>
        <v>71</v>
      </c>
      <c r="H41" s="407"/>
      <c r="I41" s="1251" t="str">
        <f>I9</f>
        <v>AU Bordeaux</v>
      </c>
      <c r="J41" s="1251"/>
      <c r="K41" s="1251"/>
      <c r="L41" s="1251"/>
      <c r="M41" s="403"/>
      <c r="N41" s="403"/>
      <c r="O41" s="403"/>
      <c r="P41" s="1252" t="str">
        <f>O9</f>
        <v>AU Toulouse</v>
      </c>
      <c r="Q41" s="1252"/>
      <c r="R41" s="1252"/>
      <c r="S41" s="1252"/>
      <c r="T41" s="403"/>
      <c r="U41" s="216"/>
      <c r="V41" s="216"/>
    </row>
    <row r="42" spans="1:22">
      <c r="A42" s="426" t="str">
        <f>O9</f>
        <v>AU Toulouse</v>
      </c>
      <c r="B42" s="426">
        <f>VLOOKUP($O$9,'D_Ch-3'!$B$5:$Y$54,MATCH("Ets actifs de 0 salarié N-1",'D_Ch-3'!$5:$5,0)-1,FALSE)</f>
        <v>96995</v>
      </c>
      <c r="C42" s="426">
        <f>VLOOKUP($O$9,'D_Ch-3'!$B$5:$Y$54,MATCH("Ets actifs de 1 à 9 salariés N-1",'D_Ch-3'!$5:$5,0)-1,FALSE)</f>
        <v>28689</v>
      </c>
      <c r="D42" s="426">
        <f>VLOOKUP($O$9,'D_Ch-3'!$B$5:$Y$54,MATCH("Ets actifs de 10 à 49 salariés N-1",'D_Ch-3'!$5:$5,0)-1,FALSE)</f>
        <v>6270</v>
      </c>
      <c r="E42" s="426">
        <f>VLOOKUP($O$9,'D_Ch-3'!$B$5:$Y$54,MATCH("Ets actifs de 50 à 199 salariés N-1",'D_Ch-3'!$5:$5,0)-1,FALSE)</f>
        <v>1355</v>
      </c>
      <c r="F42" s="426">
        <f>VLOOKUP($O$9,'D_Ch-3'!$B$5:$Y$54,MATCH("Ets actifs de 200 à 499 salariés N-1",'D_Ch-3'!$5:$5,0)-1,FALSE)</f>
        <v>220</v>
      </c>
      <c r="G42" s="426">
        <f>VLOOKUP($O$9,'D_Ch-3'!$B$5:$Y$54,MATCH("Ets actifs de 500 salariés ou plus N-1",'D_Ch-3'!$5:$5,0)-1,FALSE)</f>
        <v>87</v>
      </c>
      <c r="H42" s="426"/>
      <c r="I42" s="426"/>
      <c r="J42" s="426"/>
      <c r="K42" s="426"/>
      <c r="L42" s="426"/>
      <c r="M42" s="327"/>
      <c r="N42" s="327"/>
      <c r="O42" s="327"/>
      <c r="P42" s="327"/>
      <c r="Q42" s="327"/>
      <c r="R42" s="327"/>
      <c r="S42" s="327"/>
      <c r="T42" s="327"/>
      <c r="U42" s="198"/>
      <c r="V42" s="198"/>
    </row>
    <row r="43" spans="1:22">
      <c r="A43" s="399"/>
      <c r="B43" s="461"/>
      <c r="C43" s="461"/>
      <c r="D43" s="461"/>
      <c r="E43" s="461"/>
      <c r="F43" s="461"/>
      <c r="G43" s="462"/>
      <c r="H43" s="419"/>
      <c r="I43" s="416"/>
      <c r="J43" s="463">
        <f>B41/($B$41+$C$41+$D$41+$E$41+$F$41+$G$41)</f>
        <v>0.72786559590997635</v>
      </c>
      <c r="K43" s="464"/>
      <c r="L43" s="416"/>
      <c r="M43" s="416"/>
      <c r="N43" s="416"/>
      <c r="O43" s="463">
        <f>B$42/($B$42+$C$42+$D$42+$E$42+$F$42+$G$42)</f>
        <v>0.72592354209076759</v>
      </c>
      <c r="P43" s="327"/>
      <c r="Q43" s="327"/>
      <c r="R43" s="327"/>
      <c r="S43" s="327"/>
      <c r="T43" s="327"/>
      <c r="U43" s="198"/>
      <c r="V43" s="198"/>
    </row>
    <row r="44" spans="1:22">
      <c r="A44" s="327"/>
      <c r="B44" s="416"/>
      <c r="C44" s="416"/>
      <c r="D44" s="416"/>
      <c r="E44" s="416"/>
      <c r="F44" s="416"/>
      <c r="G44" s="465"/>
      <c r="H44" s="416"/>
      <c r="I44" s="416"/>
      <c r="J44" s="466">
        <f>C41/($B$41+$C$41+$D$41+$E$41+$F$41+$G$41)</f>
        <v>0.21384848741501575</v>
      </c>
      <c r="K44" s="416"/>
      <c r="L44" s="416"/>
      <c r="M44" s="416"/>
      <c r="N44" s="416"/>
      <c r="O44" s="466">
        <f>C$42/($B$42+$C$42+$D$42+$E$42+$F$42+$G$42)</f>
        <v>0.21471230990300563</v>
      </c>
      <c r="P44" s="327"/>
      <c r="Q44" s="327"/>
      <c r="R44" s="327"/>
      <c r="S44" s="327"/>
      <c r="T44" s="327"/>
      <c r="U44" s="198"/>
      <c r="V44" s="198"/>
    </row>
    <row r="45" spans="1:22">
      <c r="A45" s="327"/>
      <c r="B45" s="416"/>
      <c r="C45" s="416"/>
      <c r="D45" s="416"/>
      <c r="E45" s="416"/>
      <c r="F45" s="416"/>
      <c r="G45" s="416"/>
      <c r="H45" s="416"/>
      <c r="I45" s="416"/>
      <c r="J45" s="1250">
        <f>D41/($B$41+$C$41+$D$41+$E$41+$F$41+$G$41)</f>
        <v>4.6982914603817455E-2</v>
      </c>
      <c r="K45" s="416"/>
      <c r="L45" s="416"/>
      <c r="M45" s="416"/>
      <c r="N45" s="416"/>
      <c r="O45" s="1250">
        <f>D$42/($B$42+$C$42+$D$42+$E$42+$F$42+$G$42)</f>
        <v>4.6925517902047659E-2</v>
      </c>
      <c r="P45" s="327"/>
      <c r="Q45" s="327"/>
      <c r="R45" s="327"/>
      <c r="S45" s="327"/>
      <c r="T45" s="327"/>
      <c r="U45" s="198"/>
      <c r="V45" s="198"/>
    </row>
    <row r="46" spans="1:22">
      <c r="A46" s="327"/>
      <c r="B46" s="327"/>
      <c r="C46" s="327"/>
      <c r="D46" s="327"/>
      <c r="E46" s="327"/>
      <c r="F46" s="327"/>
      <c r="G46" s="327"/>
      <c r="H46" s="327"/>
      <c r="I46" s="327"/>
      <c r="J46" s="1250">
        <f>B44/($B$41+$C$41+$D$41+$E$41+$F$41+$G$41)</f>
        <v>0</v>
      </c>
      <c r="K46" s="327"/>
      <c r="L46" s="327"/>
      <c r="M46" s="327"/>
      <c r="N46" s="327"/>
      <c r="O46" s="1250">
        <f>B$42/($B$42+$C$42+$D$42+$E$42+$F$42+$G$42)</f>
        <v>0.72592354209076759</v>
      </c>
      <c r="P46" s="327"/>
      <c r="Q46" s="327"/>
      <c r="R46" s="327"/>
      <c r="S46" s="327"/>
      <c r="T46" s="327"/>
      <c r="U46" s="198"/>
      <c r="V46" s="198"/>
    </row>
    <row r="47" spans="1:22">
      <c r="A47" s="327"/>
      <c r="B47" s="327"/>
      <c r="C47" s="327"/>
      <c r="D47" s="327"/>
      <c r="E47" s="327"/>
      <c r="F47" s="327"/>
      <c r="G47" s="327"/>
      <c r="H47" s="327"/>
      <c r="I47" s="327"/>
      <c r="J47" s="467">
        <f>E41/($B$41+$C$41+$D$41+$E$41+$F$41+$G$41)</f>
        <v>9.5012973813685259E-3</v>
      </c>
      <c r="K47" s="327"/>
      <c r="L47" s="327"/>
      <c r="M47" s="327"/>
      <c r="N47" s="327"/>
      <c r="O47" s="467">
        <f>E$42/($B$42+$C$42+$D$42+$E$42+$F$42+$G$42)</f>
        <v>1.0141001077715244E-2</v>
      </c>
      <c r="P47" s="327"/>
      <c r="Q47" s="327"/>
      <c r="R47" s="327"/>
      <c r="S47" s="327"/>
      <c r="T47" s="327"/>
      <c r="U47" s="198"/>
      <c r="V47" s="198"/>
    </row>
    <row r="48" spans="1:22">
      <c r="A48" s="327"/>
      <c r="B48" s="327"/>
      <c r="C48" s="327"/>
      <c r="D48" s="327"/>
      <c r="E48" s="327"/>
      <c r="F48" s="327"/>
      <c r="G48" s="327"/>
      <c r="H48" s="327"/>
      <c r="I48" s="327"/>
      <c r="J48" s="467">
        <f>F41/($B$41+$C$41+$D$41+$E$41+$F$41+$G$41)</f>
        <v>1.2550336087220986E-3</v>
      </c>
      <c r="K48" s="327"/>
      <c r="L48" s="327"/>
      <c r="M48" s="327"/>
      <c r="N48" s="327"/>
      <c r="O48" s="467">
        <f>F$42/($B$42+$C$42+$D$42+$E$42+$F$42+$G$42)</f>
        <v>1.6465094000718476E-3</v>
      </c>
      <c r="P48" s="327"/>
      <c r="Q48" s="327"/>
      <c r="R48" s="327"/>
      <c r="S48" s="327"/>
      <c r="T48" s="327"/>
      <c r="U48" s="198"/>
      <c r="V48" s="198"/>
    </row>
    <row r="49" spans="1:22">
      <c r="A49" s="327"/>
      <c r="B49" s="327"/>
      <c r="C49" s="327"/>
      <c r="D49" s="327"/>
      <c r="E49" s="327"/>
      <c r="F49" s="327"/>
      <c r="G49" s="327"/>
      <c r="H49" s="327"/>
      <c r="I49" s="327"/>
      <c r="J49" s="468">
        <f>G41/($B$41+$C$41+$D$41+$E$41+$F$41+$G$41)</f>
        <v>5.4667108109980979E-4</v>
      </c>
      <c r="K49" s="327"/>
      <c r="L49" s="327"/>
      <c r="M49" s="327"/>
      <c r="N49" s="327"/>
      <c r="O49" s="468">
        <f>G$42/($B$42+$C$42+$D$42+$E$42+$F$42+$G$42)</f>
        <v>6.5111962639204882E-4</v>
      </c>
      <c r="P49" s="327"/>
      <c r="Q49" s="327"/>
      <c r="R49" s="327"/>
      <c r="S49" s="327"/>
      <c r="T49" s="327"/>
      <c r="U49" s="198"/>
      <c r="V49" s="198"/>
    </row>
    <row r="50" spans="1:22">
      <c r="A50" s="327"/>
      <c r="B50" s="327"/>
      <c r="C50" s="327"/>
      <c r="D50" s="327"/>
      <c r="E50" s="327"/>
      <c r="F50" s="327"/>
      <c r="G50" s="327"/>
      <c r="H50" s="327"/>
      <c r="I50" s="327"/>
      <c r="J50" s="327"/>
      <c r="K50" s="327"/>
      <c r="L50" s="327"/>
      <c r="M50" s="327"/>
      <c r="N50" s="327"/>
      <c r="O50" s="327"/>
      <c r="P50" s="327"/>
      <c r="Q50" s="327"/>
      <c r="R50" s="327"/>
      <c r="S50" s="327"/>
      <c r="T50" s="327"/>
      <c r="U50" s="198"/>
      <c r="V50" s="198"/>
    </row>
    <row r="51" spans="1:22">
      <c r="A51" s="327"/>
      <c r="B51" s="327"/>
      <c r="C51" s="327"/>
      <c r="D51" s="327"/>
      <c r="E51" s="327"/>
      <c r="F51" s="327"/>
      <c r="G51" s="327"/>
      <c r="H51" s="327"/>
      <c r="I51" s="327"/>
      <c r="J51" s="327"/>
      <c r="K51" s="327"/>
      <c r="L51" s="327"/>
      <c r="M51" s="327"/>
      <c r="N51" s="327"/>
      <c r="O51" s="327"/>
      <c r="P51" s="327"/>
      <c r="Q51" s="327"/>
      <c r="R51" s="327"/>
      <c r="S51" s="327"/>
      <c r="T51" s="327"/>
      <c r="U51" s="198"/>
      <c r="V51" s="198"/>
    </row>
    <row r="52" spans="1:22">
      <c r="A52" s="198"/>
      <c r="B52" s="198"/>
      <c r="C52" s="198"/>
      <c r="D52" s="198"/>
      <c r="E52" s="198"/>
      <c r="F52" s="198"/>
      <c r="G52" s="198"/>
      <c r="H52" s="198"/>
      <c r="I52" s="198"/>
      <c r="J52" s="198"/>
      <c r="K52" s="198"/>
      <c r="L52" s="198"/>
      <c r="M52" s="198"/>
      <c r="N52" s="198"/>
      <c r="O52" s="198"/>
      <c r="P52" s="198"/>
      <c r="Q52" s="198"/>
      <c r="R52" s="198"/>
      <c r="S52" s="198"/>
      <c r="T52" s="198"/>
      <c r="U52" s="198"/>
      <c r="V52" s="198"/>
    </row>
    <row r="53" spans="1:22">
      <c r="A53" s="198"/>
      <c r="B53" s="198"/>
      <c r="C53" s="198"/>
      <c r="D53" s="198"/>
      <c r="E53" s="198"/>
      <c r="F53" s="198"/>
      <c r="G53" s="198"/>
      <c r="H53" s="198"/>
      <c r="I53" s="198"/>
      <c r="J53" s="198"/>
      <c r="K53" s="198"/>
      <c r="L53" s="198"/>
      <c r="M53" s="198"/>
      <c r="N53" s="198"/>
      <c r="O53" s="198"/>
      <c r="P53" s="198"/>
      <c r="Q53" s="198"/>
      <c r="R53" s="198"/>
      <c r="S53" s="198"/>
      <c r="T53" s="198"/>
      <c r="U53" s="198"/>
      <c r="V53" s="198"/>
    </row>
    <row r="54" spans="1:22" hidden="1">
      <c r="A54" s="198"/>
      <c r="B54" s="198"/>
      <c r="C54" s="198"/>
      <c r="D54" s="198"/>
      <c r="E54" s="198"/>
      <c r="F54" s="198"/>
      <c r="G54" s="198"/>
      <c r="H54" s="198"/>
      <c r="I54" s="198"/>
      <c r="J54" s="198"/>
      <c r="K54" s="198"/>
      <c r="L54" s="198"/>
      <c r="M54" s="198"/>
      <c r="N54" s="198"/>
      <c r="O54" s="198"/>
      <c r="P54" s="198"/>
      <c r="Q54" s="198"/>
      <c r="R54" s="198"/>
      <c r="S54" s="198"/>
      <c r="T54" s="198"/>
      <c r="U54" s="198"/>
      <c r="V54" s="198"/>
    </row>
    <row r="55" spans="1:22" hidden="1">
      <c r="A55" s="198"/>
      <c r="B55" s="198"/>
      <c r="C55" s="198"/>
      <c r="D55" s="198"/>
      <c r="E55" s="198"/>
      <c r="F55" s="198"/>
      <c r="G55" s="198"/>
      <c r="H55" s="198"/>
      <c r="I55" s="198"/>
      <c r="J55" s="198"/>
      <c r="K55" s="198"/>
      <c r="L55" s="198"/>
      <c r="M55" s="198"/>
      <c r="N55" s="198"/>
      <c r="O55" s="198"/>
      <c r="P55" s="198"/>
      <c r="Q55" s="198"/>
      <c r="R55" s="198"/>
      <c r="S55" s="198"/>
      <c r="T55" s="198"/>
      <c r="U55" s="198"/>
      <c r="V55" s="198"/>
    </row>
    <row r="56" spans="1:22" hidden="1">
      <c r="A56" s="198"/>
      <c r="B56" s="198"/>
      <c r="C56" s="198"/>
      <c r="D56" s="198"/>
      <c r="E56" s="198"/>
      <c r="F56" s="198"/>
      <c r="G56" s="198"/>
      <c r="H56" s="198"/>
      <c r="I56" s="198"/>
      <c r="J56" s="198"/>
      <c r="K56" s="198"/>
      <c r="L56" s="198"/>
      <c r="M56" s="198"/>
      <c r="N56" s="198"/>
      <c r="O56" s="198"/>
      <c r="P56" s="198"/>
      <c r="Q56" s="198"/>
      <c r="R56" s="198"/>
      <c r="S56" s="198"/>
      <c r="T56" s="198"/>
      <c r="U56" s="198"/>
      <c r="V56" s="198"/>
    </row>
    <row r="57" spans="1:22" hidden="1">
      <c r="A57" s="198"/>
      <c r="B57" s="198"/>
      <c r="C57" s="198"/>
      <c r="D57" s="198"/>
      <c r="E57" s="198"/>
      <c r="F57" s="198"/>
      <c r="G57" s="198"/>
      <c r="H57" s="198"/>
      <c r="I57" s="198"/>
      <c r="J57" s="198"/>
      <c r="K57" s="198"/>
      <c r="L57" s="198"/>
      <c r="M57" s="198"/>
      <c r="N57" s="198"/>
      <c r="O57" s="198"/>
      <c r="P57" s="198"/>
      <c r="Q57" s="198"/>
      <c r="R57" s="198"/>
      <c r="S57" s="198"/>
      <c r="T57" s="198"/>
      <c r="U57" s="198"/>
      <c r="V57" s="198"/>
    </row>
    <row r="58" spans="1:22" hidden="1">
      <c r="A58" s="198"/>
      <c r="B58" s="198"/>
      <c r="C58" s="198"/>
      <c r="D58" s="198"/>
      <c r="E58" s="198"/>
      <c r="F58" s="198"/>
      <c r="G58" s="198"/>
      <c r="H58" s="198"/>
      <c r="I58" s="198"/>
      <c r="J58" s="198"/>
      <c r="K58" s="198"/>
      <c r="L58" s="198"/>
      <c r="M58" s="198"/>
      <c r="N58" s="198"/>
      <c r="O58" s="198"/>
      <c r="P58" s="198"/>
      <c r="Q58" s="198"/>
      <c r="R58" s="198"/>
      <c r="S58" s="198"/>
      <c r="T58" s="198"/>
      <c r="U58" s="198"/>
      <c r="V58" s="198"/>
    </row>
    <row r="59" spans="1:22" hidden="1">
      <c r="A59" s="198"/>
      <c r="B59" s="198"/>
      <c r="C59" s="198"/>
      <c r="D59" s="198"/>
      <c r="E59" s="198"/>
      <c r="F59" s="198"/>
      <c r="G59" s="198"/>
      <c r="H59" s="198"/>
      <c r="I59" s="198"/>
      <c r="J59" s="198"/>
      <c r="K59" s="198"/>
      <c r="L59" s="198"/>
      <c r="M59" s="198"/>
      <c r="N59" s="198"/>
      <c r="O59" s="198"/>
      <c r="P59" s="198"/>
      <c r="Q59" s="198"/>
      <c r="R59" s="198"/>
      <c r="S59" s="198"/>
      <c r="T59" s="198"/>
      <c r="U59" s="198"/>
      <c r="V59" s="198"/>
    </row>
    <row r="60" spans="1:22" hidden="1">
      <c r="A60" s="198"/>
      <c r="B60" s="198"/>
      <c r="C60" s="198"/>
      <c r="D60" s="198"/>
      <c r="E60" s="198"/>
      <c r="F60" s="198"/>
      <c r="G60" s="198"/>
      <c r="H60" s="198"/>
      <c r="I60" s="198"/>
      <c r="J60" s="198"/>
      <c r="K60" s="198"/>
      <c r="L60" s="198"/>
      <c r="M60" s="198"/>
      <c r="N60" s="198"/>
      <c r="O60" s="198"/>
      <c r="P60" s="198"/>
      <c r="Q60" s="198"/>
      <c r="R60" s="198"/>
      <c r="S60" s="198"/>
      <c r="T60" s="198"/>
      <c r="U60" s="198"/>
      <c r="V60" s="198"/>
    </row>
    <row r="61" spans="1:22" hidden="1">
      <c r="A61" s="198"/>
      <c r="B61" s="198"/>
      <c r="C61" s="198"/>
      <c r="D61" s="198"/>
      <c r="E61" s="198"/>
      <c r="F61" s="198"/>
      <c r="G61" s="198"/>
      <c r="H61" s="198"/>
      <c r="I61" s="198"/>
      <c r="J61" s="198"/>
      <c r="K61" s="198"/>
      <c r="L61" s="198"/>
      <c r="M61" s="198"/>
      <c r="N61" s="198"/>
      <c r="O61" s="198"/>
      <c r="P61" s="198"/>
      <c r="Q61" s="198"/>
      <c r="R61" s="198"/>
      <c r="S61" s="198"/>
      <c r="T61" s="198"/>
      <c r="U61" s="198"/>
      <c r="V61" s="198"/>
    </row>
    <row r="62" spans="1:22" hidden="1">
      <c r="F62" s="875"/>
      <c r="G62" s="875"/>
      <c r="H62" s="875"/>
      <c r="I62" s="875"/>
      <c r="J62" s="875"/>
      <c r="K62" s="875"/>
      <c r="L62" s="875"/>
      <c r="M62" s="875"/>
      <c r="N62" s="875"/>
      <c r="O62" s="875"/>
      <c r="P62" s="875"/>
      <c r="Q62" s="875"/>
      <c r="R62" s="875"/>
      <c r="S62" s="875"/>
      <c r="T62" s="875"/>
    </row>
    <row r="63" spans="1:22" hidden="1">
      <c r="F63" s="875"/>
      <c r="G63" s="875"/>
      <c r="H63" s="875"/>
      <c r="I63" s="875"/>
      <c r="J63" s="875"/>
      <c r="K63" s="875"/>
      <c r="L63" s="875"/>
      <c r="M63" s="875"/>
      <c r="N63" s="875"/>
      <c r="O63" s="875"/>
      <c r="P63" s="875"/>
      <c r="Q63" s="875"/>
      <c r="R63" s="875"/>
      <c r="S63" s="875"/>
      <c r="T63" s="875"/>
    </row>
  </sheetData>
  <sheetProtection algorithmName="SHA-512" hashValue="fJg9T68PKzBxrOE56J72kpWCxOMMUCN+uRhfb8OUuyNxmKn5KBHgJobM2cKfqGpxme3EOHKT5Mf7dxQHvZ84nA==" saltValue="xrjGoQxFHvOyeAyRGFK8TQ==" spinCount="100000" sheet="1" objects="1" autoFilter="0"/>
  <mergeCells count="35">
    <mergeCell ref="F1:T4"/>
    <mergeCell ref="A6:T7"/>
    <mergeCell ref="I9:L9"/>
    <mergeCell ref="O9:R9"/>
    <mergeCell ref="J12:K12"/>
    <mergeCell ref="P12:Q12"/>
    <mergeCell ref="A9:C9"/>
    <mergeCell ref="J13:K13"/>
    <mergeCell ref="P13:Q13"/>
    <mergeCell ref="J16:K16"/>
    <mergeCell ref="P16:Q16"/>
    <mergeCell ref="J14:L14"/>
    <mergeCell ref="P14:R14"/>
    <mergeCell ref="M14:N14"/>
    <mergeCell ref="M13:N13"/>
    <mergeCell ref="J22:K22"/>
    <mergeCell ref="J23:K23"/>
    <mergeCell ref="P22:Q22"/>
    <mergeCell ref="P23:Q23"/>
    <mergeCell ref="J18:K18"/>
    <mergeCell ref="P18:Q18"/>
    <mergeCell ref="J19:K19"/>
    <mergeCell ref="P19:Q19"/>
    <mergeCell ref="M23:N23"/>
    <mergeCell ref="S23:T23"/>
    <mergeCell ref="S13:T13"/>
    <mergeCell ref="S14:T14"/>
    <mergeCell ref="M16:N16"/>
    <mergeCell ref="S16:T16"/>
    <mergeCell ref="J45:J46"/>
    <mergeCell ref="O45:O46"/>
    <mergeCell ref="I27:L27"/>
    <mergeCell ref="P27:S27"/>
    <mergeCell ref="I41:L41"/>
    <mergeCell ref="P41:S41"/>
  </mergeCells>
  <conditionalFormatting sqref="M14:N14">
    <cfRule type="iconSet" priority="12">
      <iconSet iconSet="5ArrowsGray">
        <cfvo type="percent" val="0"/>
        <cfvo type="num" val="-0.5"/>
        <cfvo type="num" val="-0.05"/>
        <cfvo type="num" val="0.05"/>
        <cfvo type="num" val="0.5"/>
      </iconSet>
    </cfRule>
  </conditionalFormatting>
  <conditionalFormatting sqref="S14:T14">
    <cfRule type="iconSet" priority="11">
      <iconSet iconSet="5ArrowsGray">
        <cfvo type="percent" val="0"/>
        <cfvo type="num" val="-0.5"/>
        <cfvo type="num" val="-0.05"/>
        <cfvo type="num" val="0.05"/>
        <cfvo type="num" val="0.5"/>
      </iconSet>
    </cfRule>
  </conditionalFormatting>
  <conditionalFormatting sqref="M16:N16">
    <cfRule type="iconSet" priority="10">
      <iconSet iconSet="5ArrowsGray">
        <cfvo type="percent" val="0"/>
        <cfvo type="num" val="-0.5"/>
        <cfvo type="num" val="-0.05"/>
        <cfvo type="num" val="0.05"/>
        <cfvo type="num" val="0.5"/>
      </iconSet>
    </cfRule>
  </conditionalFormatting>
  <conditionalFormatting sqref="S16:T16">
    <cfRule type="iconSet" priority="9">
      <iconSet iconSet="5ArrowsGray">
        <cfvo type="percent" val="0"/>
        <cfvo type="num" val="-0.5"/>
        <cfvo type="num" val="-0.05"/>
        <cfvo type="num" val="0.05"/>
        <cfvo type="num" val="0.5"/>
      </iconSet>
    </cfRule>
  </conditionalFormatting>
  <conditionalFormatting sqref="M23:N23">
    <cfRule type="iconSet" priority="6">
      <iconSet iconSet="5ArrowsGray">
        <cfvo type="percent" val="0"/>
        <cfvo type="num" val="-0.5"/>
        <cfvo type="num" val="-0.05"/>
        <cfvo type="num" val="0.05"/>
        <cfvo type="num" val="0.5"/>
      </iconSet>
    </cfRule>
  </conditionalFormatting>
  <conditionalFormatting sqref="S23:T23">
    <cfRule type="iconSet" priority="5">
      <iconSet iconSet="5ArrowsGray">
        <cfvo type="percent" val="0"/>
        <cfvo type="num" val="-0.5"/>
        <cfvo type="num" val="-0.05"/>
        <cfvo type="num" val="0.05"/>
        <cfvo type="num" val="0.5"/>
      </iconSet>
    </cfRule>
  </conditionalFormatting>
  <conditionalFormatting sqref="M13:N13">
    <cfRule type="iconSet" priority="4">
      <iconSet iconSet="5ArrowsGray">
        <cfvo type="percent" val="0"/>
        <cfvo type="num" val="-0.5"/>
        <cfvo type="num" val="-0.05"/>
        <cfvo type="num" val="0.05"/>
        <cfvo type="num" val="0.5"/>
      </iconSet>
    </cfRule>
  </conditionalFormatting>
  <conditionalFormatting sqref="S13:T13">
    <cfRule type="iconSet" priority="3">
      <iconSet iconSet="5ArrowsGray">
        <cfvo type="percent" val="0"/>
        <cfvo type="num" val="-0.5"/>
        <cfvo type="num" val="-0.05"/>
        <cfvo type="num" val="0.05"/>
        <cfvo type="num" val="0.5"/>
      </iconSet>
    </cfRule>
  </conditionalFormatting>
  <hyperlinks>
    <hyperlink ref="A12:C12" location="Glossaire!A120" display="Nombre d'entreprises" xr:uid="{00000000-0004-0000-1800-000000000000}"/>
    <hyperlink ref="A13" location="Glossaire!A127" display="Création d'entreprises" xr:uid="{00000000-0004-0000-1800-000001000000}"/>
    <hyperlink ref="A16" location="Glossaire!A142" display="Taux d'entrepreneuriat " xr:uid="{00000000-0004-0000-1800-000002000000}"/>
    <hyperlink ref="A14" location="Glossaire!A136" display="dont part des micro-entrepreneurs " xr:uid="{00000000-0004-0000-1800-000003000000}"/>
    <hyperlink ref="A22" location="Glossaire!A148" display="Nombre d'établissements" xr:uid="{00000000-0004-0000-1800-000004000000}"/>
    <hyperlink ref="A13:D13" location="Glossaire!A177" display="Création d'entreprises" xr:uid="{00000000-0004-0000-1800-000005000000}"/>
    <hyperlink ref="A14:E14" location="Glossaire!A129" display="dont part des micro-entrepreneurs " xr:uid="{00000000-0004-0000-1800-000006000000}"/>
    <hyperlink ref="A16:D16" location="Glossaire!A192" display="Taux d'entrepreneuriat " xr:uid="{00000000-0004-0000-1800-000007000000}"/>
    <hyperlink ref="A22:C22" location="Glossaire!A147" display="Nb d'établissements" xr:uid="{00000000-0004-0000-1800-000008000000}"/>
    <hyperlink ref="A22:D22" location="Glossaire!A171" display="Nombre d'établissements" xr:uid="{00000000-0004-0000-1800-000009000000}"/>
    <hyperlink ref="A11:H11" location="Glossaire!A167" display="Analyse des entreprises au 31 décembre 2015" xr:uid="{00000000-0004-0000-1800-00000A000000}"/>
    <hyperlink ref="A21:I21" location="Glossaire!A170" display="Analyse des établissements au 31 décembre 2015" xr:uid="{00000000-0004-0000-1800-00000B000000}"/>
    <hyperlink ref="A14:F14" location="Glossaire!A186" display="dont part des micro-entrepreneurs " xr:uid="{00000000-0004-0000-1800-00000C000000}"/>
    <hyperlink ref="A16:E16" location="Glossaire!A142" display="Taux d'entrepreneuriat " xr:uid="{00000000-0004-0000-1800-00000D000000}"/>
    <hyperlink ref="A12:D12" location="Glossaire!A167" display="Nombre d'entreprises" xr:uid="{00000000-0004-0000-1800-00000E000000}"/>
    <hyperlink ref="A18:E18" location="Glossaire!A188" display="Part de jeunes entreprises" xr:uid="{00000000-0004-0000-1800-00000F000000}"/>
    <hyperlink ref="A19:E19" location="Glossaire!A188" display="Part de jeunes entreprises" xr:uid="{00000000-0004-0000-1800-000010000000}"/>
    <hyperlink ref="A18:E19" location="Glossaire!A197" display="Part de jeunes entreprises" xr:uid="{00000000-0004-0000-1800-000011000000}"/>
    <hyperlink ref="A19:D19" location="Glossaire!A140" display="Part de jeunes entreprises" xr:uid="{00000000-0004-0000-1800-000012000000}"/>
    <hyperlink ref="A19" location="Glossaire!A142" display="Part de jeunes entreprises" xr:uid="{00000000-0004-0000-1800-000013000000}"/>
    <hyperlink ref="A18:A19" location="Glossaire!A142" display="Part de jeunes entreprises" xr:uid="{00000000-0004-0000-1800-000014000000}"/>
    <hyperlink ref="A18:D18" location="Glossaire!A140" display="Part de jeunes entreprises" xr:uid="{00000000-0004-0000-1800-000015000000}"/>
    <hyperlink ref="A18" location="Glossaire!A147" display="Part de jeunes entreprises" xr:uid="{00000000-0004-0000-1800-000016000000}"/>
    <hyperlink ref="A18:D19" location="Glossaire!A197" display="Part de jeunes entreprises" xr:uid="{00000000-0004-0000-1800-000017000000}"/>
    <hyperlink ref="A23:D23" location="Glossaire!A178" display="Création d'établissements" xr:uid="{00000000-0004-0000-1800-000018000000}"/>
  </hyperlink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avril 2018</oddHeader>
    <oddFooter>&amp;C&amp;"-,Italique"&amp;8&amp;A&amp;R&amp;8Page &amp;P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'D_Ch-3'!$B$85:$B$133</xm:f>
          </x14:formula1>
          <xm:sqref>I9:L9</xm:sqref>
        </x14:dataValidation>
        <x14:dataValidation type="list" allowBlank="1" showInputMessage="1" showErrorMessage="1" xr:uid="{00000000-0002-0000-1800-000001000000}">
          <x14:formula1>
            <xm:f>'D_Ch-3'!$B$85:$B$133</xm:f>
          </x14:formula1>
          <xm:sqref>O9:R9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200"/>
  <sheetViews>
    <sheetView showGridLines="0" showRowColHeaders="0" showRuler="0" view="pageLayout" zoomScale="98" zoomScaleNormal="100" zoomScalePageLayoutView="98" workbookViewId="0">
      <selection activeCell="O171" sqref="O171"/>
    </sheetView>
  </sheetViews>
  <sheetFormatPr baseColWidth="10" defaultColWidth="0" defaultRowHeight="15" zeroHeight="1"/>
  <cols>
    <col min="1" max="20" width="4.85546875" style="310" customWidth="1"/>
    <col min="21" max="21" width="1.7109375" customWidth="1"/>
    <col min="22" max="16384" width="11.42578125" hidden="1"/>
  </cols>
  <sheetData>
    <row r="1" spans="1:21" s="198" customFormat="1" ht="16.7" customHeight="1">
      <c r="A1" s="195"/>
      <c r="B1" s="196"/>
      <c r="C1" s="197"/>
      <c r="D1" s="197"/>
      <c r="E1" s="197"/>
      <c r="F1" s="1105" t="s">
        <v>1039</v>
      </c>
      <c r="G1" s="1105"/>
      <c r="H1" s="1105"/>
      <c r="I1" s="1105"/>
      <c r="J1" s="1105"/>
      <c r="K1" s="1105"/>
      <c r="L1" s="1105"/>
      <c r="M1" s="1105"/>
      <c r="N1" s="1105"/>
      <c r="O1" s="1105"/>
      <c r="P1" s="1105"/>
      <c r="Q1" s="1105"/>
      <c r="R1" s="1105"/>
      <c r="S1" s="1105"/>
      <c r="T1" s="1105"/>
      <c r="U1" s="593"/>
    </row>
    <row r="2" spans="1:21" s="198" customFormat="1" ht="16.7" customHeight="1">
      <c r="A2" s="199"/>
      <c r="B2" s="197"/>
      <c r="C2" s="197"/>
      <c r="D2" s="197"/>
      <c r="E2" s="197"/>
      <c r="F2" s="1105"/>
      <c r="G2" s="1105"/>
      <c r="H2" s="1105"/>
      <c r="I2" s="1105"/>
      <c r="J2" s="1105"/>
      <c r="K2" s="1105"/>
      <c r="L2" s="1105"/>
      <c r="M2" s="1105"/>
      <c r="N2" s="1105"/>
      <c r="O2" s="1105"/>
      <c r="P2" s="1105"/>
      <c r="Q2" s="1105"/>
      <c r="R2" s="1105"/>
      <c r="S2" s="1105"/>
      <c r="T2" s="1105"/>
      <c r="U2" s="593"/>
    </row>
    <row r="3" spans="1:21" s="198" customFormat="1" ht="16.7" customHeight="1">
      <c r="A3" s="200"/>
      <c r="B3" s="197"/>
      <c r="C3" s="197"/>
      <c r="D3" s="197"/>
      <c r="E3" s="197"/>
      <c r="F3" s="1105"/>
      <c r="G3" s="1105"/>
      <c r="H3" s="1105"/>
      <c r="I3" s="1105"/>
      <c r="J3" s="1105"/>
      <c r="K3" s="1105"/>
      <c r="L3" s="1105"/>
      <c r="M3" s="1105"/>
      <c r="N3" s="1105"/>
      <c r="O3" s="1105"/>
      <c r="P3" s="1105"/>
      <c r="Q3" s="1105"/>
      <c r="R3" s="1105"/>
      <c r="S3" s="1105"/>
      <c r="T3" s="1105"/>
      <c r="U3" s="593"/>
    </row>
    <row r="4" spans="1:21" ht="16.7" customHeight="1">
      <c r="A4" s="818"/>
      <c r="B4" s="818"/>
      <c r="C4" s="818"/>
      <c r="D4" s="818"/>
      <c r="E4" s="818"/>
      <c r="F4" s="1105"/>
      <c r="G4" s="1105"/>
      <c r="H4" s="1105"/>
      <c r="I4" s="1105"/>
      <c r="J4" s="1105"/>
      <c r="K4" s="1105"/>
      <c r="L4" s="1105"/>
      <c r="M4" s="1105"/>
      <c r="N4" s="1105"/>
      <c r="O4" s="1105"/>
      <c r="P4" s="1105"/>
      <c r="Q4" s="1105"/>
      <c r="R4" s="1105"/>
      <c r="S4" s="1105"/>
      <c r="T4" s="1105"/>
    </row>
    <row r="5" spans="1:21" ht="5.25" customHeight="1">
      <c r="A5" s="818"/>
      <c r="B5" s="818"/>
      <c r="C5" s="818"/>
      <c r="D5" s="818"/>
      <c r="E5" s="818"/>
      <c r="F5" s="818"/>
      <c r="G5" s="818"/>
      <c r="H5" s="818"/>
      <c r="I5" s="818"/>
      <c r="J5" s="818"/>
      <c r="K5" s="818"/>
      <c r="L5" s="818"/>
      <c r="M5" s="818"/>
      <c r="N5" s="818"/>
      <c r="O5" s="818"/>
      <c r="P5" s="818"/>
      <c r="Q5" s="818"/>
      <c r="R5" s="818"/>
      <c r="S5" s="818"/>
      <c r="T5" s="818"/>
    </row>
    <row r="6" spans="1:21" s="198" customFormat="1" ht="15" customHeight="1">
      <c r="A6" s="1102" t="s">
        <v>738</v>
      </c>
      <c r="B6" s="1102"/>
      <c r="C6" s="1102"/>
      <c r="D6" s="1102"/>
      <c r="E6" s="1102"/>
      <c r="F6" s="1102"/>
      <c r="G6" s="1102"/>
      <c r="H6" s="1102"/>
      <c r="I6" s="1102"/>
      <c r="J6" s="1102"/>
      <c r="K6" s="1102"/>
      <c r="L6" s="1102"/>
      <c r="M6" s="1102"/>
      <c r="N6" s="1102"/>
      <c r="O6" s="1102"/>
      <c r="P6" s="1102"/>
      <c r="Q6" s="1102"/>
      <c r="R6" s="1102"/>
      <c r="S6" s="1102"/>
      <c r="T6" s="1102"/>
      <c r="U6" s="784"/>
    </row>
    <row r="7" spans="1:21" s="198" customFormat="1" ht="15" customHeight="1">
      <c r="A7" s="1102"/>
      <c r="B7" s="1102"/>
      <c r="C7" s="1102"/>
      <c r="D7" s="1102"/>
      <c r="E7" s="1102"/>
      <c r="F7" s="1102"/>
      <c r="G7" s="1102"/>
      <c r="H7" s="1102"/>
      <c r="I7" s="1102"/>
      <c r="J7" s="1102"/>
      <c r="K7" s="1102"/>
      <c r="L7" s="1102"/>
      <c r="M7" s="1102"/>
      <c r="N7" s="1102"/>
      <c r="O7" s="1102"/>
      <c r="P7" s="1102"/>
      <c r="Q7" s="1102"/>
      <c r="R7" s="1102"/>
      <c r="S7" s="1102"/>
      <c r="T7" s="1102"/>
      <c r="U7" s="784"/>
    </row>
    <row r="8" spans="1:21" s="374" customFormat="1" ht="18" customHeight="1">
      <c r="A8" s="856" t="s">
        <v>1481</v>
      </c>
      <c r="B8" s="856"/>
      <c r="C8" s="856"/>
      <c r="D8" s="856"/>
      <c r="E8" s="856"/>
      <c r="F8" s="856"/>
      <c r="G8" s="856"/>
      <c r="H8" s="856"/>
      <c r="I8" s="856"/>
      <c r="J8" s="856"/>
      <c r="K8" s="856"/>
      <c r="L8" s="856"/>
      <c r="M8" s="856"/>
      <c r="N8" s="856"/>
      <c r="O8" s="856"/>
      <c r="P8" s="856"/>
      <c r="Q8" s="856"/>
      <c r="R8" s="867"/>
      <c r="S8" s="436"/>
      <c r="T8" s="436"/>
    </row>
    <row r="9" spans="1:21" s="374" customFormat="1" ht="8.25" customHeight="1" thickBot="1">
      <c r="A9" s="856"/>
      <c r="B9" s="856"/>
      <c r="C9" s="856"/>
      <c r="D9" s="856"/>
      <c r="E9" s="856"/>
      <c r="F9" s="856"/>
      <c r="G9" s="856"/>
      <c r="H9" s="856"/>
      <c r="I9" s="856"/>
      <c r="J9" s="856"/>
      <c r="K9" s="856"/>
      <c r="L9" s="856"/>
      <c r="M9" s="856"/>
      <c r="N9" s="856"/>
      <c r="O9" s="856"/>
      <c r="P9" s="856"/>
      <c r="Q9" s="856"/>
      <c r="R9" s="867"/>
      <c r="S9" s="436"/>
      <c r="T9" s="436"/>
    </row>
    <row r="10" spans="1:21" s="198" customFormat="1" ht="14.25" thickTop="1" thickBot="1">
      <c r="A10" s="327"/>
      <c r="B10" s="327"/>
      <c r="C10" s="554"/>
      <c r="D10" s="994" t="s">
        <v>1406</v>
      </c>
      <c r="E10" s="995"/>
      <c r="F10" s="995"/>
      <c r="G10" s="995"/>
      <c r="H10" s="996"/>
      <c r="I10" s="554"/>
      <c r="J10" s="554"/>
      <c r="K10" s="554"/>
      <c r="L10" s="554"/>
      <c r="M10" s="554"/>
      <c r="N10" s="997" t="s">
        <v>1407</v>
      </c>
      <c r="O10" s="998"/>
      <c r="P10" s="998"/>
      <c r="Q10" s="998"/>
      <c r="R10" s="999"/>
      <c r="S10" s="327"/>
      <c r="T10" s="327"/>
    </row>
    <row r="11" spans="1:21" s="194" customFormat="1" ht="15.75" thickTop="1">
      <c r="A11" s="399"/>
      <c r="B11" s="470" t="s">
        <v>275</v>
      </c>
      <c r="C11" s="470" t="s">
        <v>741</v>
      </c>
      <c r="D11" s="470" t="s">
        <v>277</v>
      </c>
      <c r="E11" s="470" t="s">
        <v>739</v>
      </c>
      <c r="F11" s="470" t="s">
        <v>279</v>
      </c>
      <c r="G11" s="470" t="s">
        <v>280</v>
      </c>
      <c r="H11" s="470" t="s">
        <v>281</v>
      </c>
      <c r="I11" s="470" t="s">
        <v>282</v>
      </c>
      <c r="J11" s="470" t="s">
        <v>283</v>
      </c>
      <c r="K11" s="470" t="s">
        <v>1267</v>
      </c>
      <c r="L11" s="470" t="s">
        <v>740</v>
      </c>
      <c r="M11" s="470" t="s">
        <v>286</v>
      </c>
      <c r="N11" s="399"/>
      <c r="O11" s="399"/>
      <c r="P11" s="399"/>
      <c r="Q11" s="399"/>
      <c r="R11" s="399"/>
      <c r="S11" s="595"/>
      <c r="T11" s="595"/>
    </row>
    <row r="12" spans="1:21" s="194" customFormat="1">
      <c r="A12" s="399" t="str">
        <f>D10</f>
        <v>Nouvelle-Aquitaine</v>
      </c>
      <c r="B12" s="399">
        <f>VLOOKUP($D$10,'D_Ch4-1'!$A$6:$M$16,MATCH("Agriculture, sylviculture et pêche",'D_Ch4-1'!$6:$6,0),FALSE)</f>
        <v>3.3480726363508975</v>
      </c>
      <c r="C12" s="399">
        <f>VLOOKUP($D$10,'D_Ch4-1'!$A$6:$M$16,MATCH("Industries manufacturières, extractives et autres",'D_Ch4-1'!$6:$6,0),FALSE)</f>
        <v>0.98409258126977972</v>
      </c>
      <c r="D12" s="399">
        <f>VLOOKUP($D$10,'D_Ch4-1'!$A$6:$M$16,MATCH("Construction",'D_Ch4-1'!$6:$6,0),FALSE)</f>
        <v>1.1022046108935823</v>
      </c>
      <c r="E12" s="399">
        <f>VLOOKUP($D$10,'D_Ch4-1'!$A$6:$M$16,MATCH("Commerce, réparation d'auto /moto",'D_Ch4-1'!$6:$6,0),FALSE)</f>
        <v>0.95332117680706219</v>
      </c>
      <c r="F12" s="399">
        <f>VLOOKUP($D$10,'D_Ch4-1'!$A$6:$M$16,MATCH("Transport et entreposage",'D_Ch4-1'!$6:$6,0),FALSE)</f>
        <v>0.91559337354069659</v>
      </c>
      <c r="G12" s="399">
        <f>VLOOKUP($D$10,'D_Ch4-1'!$A$6:$M$16,MATCH("Hébergement et restauration",'D_Ch4-1'!$6:$6,0),FALSE)</f>
        <v>1.0314733945723034</v>
      </c>
      <c r="H12" s="399">
        <f>VLOOKUP($D$10,'D_Ch4-1'!$A$6:$M$16,MATCH("Information et communication",'D_Ch4-1'!$6:$6,0),FALSE)</f>
        <v>0.44300271388204332</v>
      </c>
      <c r="I12" s="399">
        <f>VLOOKUP($D$10,'D_Ch4-1'!$A$6:$M$16,MATCH("Activités financières et d'assurance",'D_Ch4-1'!$6:$6,0),FALSE)</f>
        <v>0.81880173004023704</v>
      </c>
      <c r="J12" s="399">
        <f>VLOOKUP($D$10,'D_Ch4-1'!$A$6:$M$16,MATCH("Activités immobilières",'D_Ch4-1'!$6:$6,0),FALSE)</f>
        <v>1.0191693292893003</v>
      </c>
      <c r="K12" s="399">
        <f>VLOOKUP($D$10,'D_Ch4-1'!$A$6:$M$16,MATCH("Activités scientifiques et techn; services admin et de soutien",'D_Ch4-1'!$6:$6,0),FALSE)</f>
        <v>0.69142812938699272</v>
      </c>
      <c r="L12" s="399">
        <f>VLOOKUP($D$10,'D_Ch4-1'!$A$6:$M$16,MATCH("Administration pub, enseignement, santé, action sociale",'D_Ch4-1'!$6:$6,0),FALSE)</f>
        <v>1.1613957088497813</v>
      </c>
      <c r="M12" s="399">
        <f>VLOOKUP($D$10,'D_Ch4-1'!$A$6:$M$16,MATCH("Autres activités de services",'D_Ch4-1'!$6:$6,0),FALSE)</f>
        <v>1.0406402818982285</v>
      </c>
      <c r="N12" s="399"/>
      <c r="O12" s="399"/>
      <c r="P12" s="399"/>
      <c r="Q12" s="399"/>
      <c r="R12" s="399"/>
      <c r="S12" s="595"/>
      <c r="T12" s="595"/>
    </row>
    <row r="13" spans="1:21" s="194" customFormat="1">
      <c r="A13" s="399" t="str">
        <f>N10</f>
        <v>Occitanie</v>
      </c>
      <c r="B13" s="399">
        <f>VLOOKUP($N$10,'D_Ch4-1'!$A$6:$M$16,MATCH("Agriculture, sylviculture et pêche",'D_Ch4-1'!$6:$6,0),FALSE)</f>
        <v>0.9389211009612366</v>
      </c>
      <c r="C13" s="399">
        <f>VLOOKUP($N$10,'D_Ch4-1'!$A$6:$M$16,MATCH("Industries manufacturières, extractives et autres",'D_Ch4-1'!$6:$6,0),FALSE)</f>
        <v>0.96513627949349123</v>
      </c>
      <c r="D13" s="399">
        <f>VLOOKUP($N$10,'D_Ch4-1'!$A$6:$M$16,MATCH("Construction",'D_Ch4-1'!$6:$6,0),FALSE)</f>
        <v>1.1110000672220741</v>
      </c>
      <c r="E13" s="399">
        <f>VLOOKUP($N$10,'D_Ch4-1'!$A$6:$M$16,MATCH("Commerce, réparation d'auto /moto",'D_Ch4-1'!$6:$6,0),FALSE)</f>
        <v>0.99655770371142205</v>
      </c>
      <c r="F13" s="399">
        <f>VLOOKUP($N$10,'D_Ch4-1'!$A$6:$M$16,MATCH("Transport et entreposage",'D_Ch4-1'!$6:$6,0),FALSE)</f>
        <v>0.83354255961276191</v>
      </c>
      <c r="G13" s="399">
        <f>VLOOKUP($N$10,'D_Ch4-1'!$A$6:$M$16,MATCH("Hébergement et restauration",'D_Ch4-1'!$6:$6,0),FALSE)</f>
        <v>1.0638087568273986</v>
      </c>
      <c r="H13" s="399">
        <f>VLOOKUP($N$10,'D_Ch4-1'!$A$6:$M$16,MATCH("Information et communication",'D_Ch4-1'!$6:$6,0),FALSE)</f>
        <v>0.70248895604277717</v>
      </c>
      <c r="I13" s="399">
        <f>VLOOKUP($N$10,'D_Ch4-1'!$A$6:$M$16,MATCH("Activités financières et d'assurance",'D_Ch4-1'!$6:$6,0),FALSE)</f>
        <v>0.62551373189686144</v>
      </c>
      <c r="J13" s="399">
        <f>VLOOKUP($N$10,'D_Ch4-1'!$A$6:$M$16,MATCH("Activités immobilières",'D_Ch4-1'!$6:$6,0),FALSE)</f>
        <v>1.0310971851085304</v>
      </c>
      <c r="K13" s="399">
        <f>VLOOKUP($N$10,'D_Ch4-1'!$A$6:$M$16,MATCH("Activités scientifiques et techn; services admin et de soutien",'D_Ch4-1'!$6:$6,0),FALSE)</f>
        <v>0.90993347461743113</v>
      </c>
      <c r="L13" s="399">
        <f>VLOOKUP($N$10,'D_Ch4-1'!$A$6:$M$16,MATCH("Administration pub, enseignement, santé, action sociale",'D_Ch4-1'!$6:$6,0),FALSE)</f>
        <v>1.1992448218759346</v>
      </c>
      <c r="M13" s="399">
        <f>VLOOKUP($N$10,'D_Ch4-1'!$A$6:$M$16,MATCH("Autres activités de services",'D_Ch4-1'!$6:$6,0),FALSE)</f>
        <v>1.0451040982771145</v>
      </c>
      <c r="N13" s="399"/>
      <c r="O13" s="399"/>
      <c r="P13" s="399"/>
      <c r="Q13" s="399"/>
      <c r="R13" s="399"/>
      <c r="S13" s="595"/>
      <c r="T13" s="595"/>
    </row>
    <row r="14" spans="1:21">
      <c r="A14" s="595"/>
      <c r="B14" s="595"/>
      <c r="C14" s="595"/>
      <c r="D14" s="595"/>
      <c r="E14" s="595"/>
      <c r="F14" s="595"/>
      <c r="G14" s="595"/>
      <c r="H14" s="595"/>
      <c r="I14" s="595"/>
      <c r="J14" s="595"/>
      <c r="K14" s="595"/>
      <c r="L14" s="595"/>
      <c r="M14" s="595"/>
      <c r="N14" s="595"/>
      <c r="O14" s="595"/>
      <c r="P14" s="595"/>
      <c r="Q14" s="595"/>
      <c r="R14" s="595"/>
      <c r="S14" s="595"/>
      <c r="T14" s="595"/>
    </row>
    <row r="15" spans="1:21">
      <c r="A15" s="595"/>
      <c r="B15" s="595"/>
      <c r="C15" s="595"/>
      <c r="D15" s="595"/>
      <c r="E15" s="595"/>
      <c r="F15" s="595"/>
      <c r="G15" s="595"/>
      <c r="H15" s="595"/>
      <c r="I15" s="595"/>
      <c r="J15" s="595"/>
      <c r="K15" s="595"/>
      <c r="L15" s="595"/>
      <c r="M15" s="595"/>
      <c r="N15" s="595"/>
      <c r="O15" s="595"/>
      <c r="P15" s="595"/>
      <c r="Q15" s="595"/>
      <c r="R15" s="595"/>
      <c r="S15" s="595"/>
      <c r="T15" s="595"/>
    </row>
    <row r="16" spans="1:21">
      <c r="A16" s="595"/>
      <c r="B16" s="595"/>
      <c r="C16" s="595"/>
      <c r="D16" s="595"/>
      <c r="E16" s="595"/>
      <c r="F16" s="595"/>
      <c r="G16" s="595"/>
      <c r="H16" s="595"/>
      <c r="I16" s="595"/>
      <c r="J16" s="595"/>
      <c r="K16" s="595"/>
      <c r="L16" s="595"/>
      <c r="M16" s="595"/>
      <c r="N16" s="595"/>
      <c r="O16" s="595"/>
      <c r="P16" s="595"/>
      <c r="Q16" s="595"/>
      <c r="R16" s="595"/>
      <c r="S16" s="595"/>
      <c r="T16" s="595"/>
    </row>
    <row r="17" spans="1:20">
      <c r="A17" s="595"/>
      <c r="B17" s="595"/>
      <c r="C17" s="595"/>
      <c r="D17" s="595"/>
      <c r="E17" s="595"/>
      <c r="F17" s="595"/>
      <c r="G17" s="595"/>
      <c r="H17" s="595"/>
      <c r="I17" s="595"/>
      <c r="J17" s="595"/>
      <c r="K17" s="595"/>
      <c r="L17" s="595"/>
      <c r="M17" s="595"/>
      <c r="N17" s="595"/>
      <c r="O17" s="595"/>
      <c r="P17" s="595"/>
      <c r="Q17" s="595"/>
      <c r="R17" s="595"/>
      <c r="S17" s="595"/>
      <c r="T17" s="595"/>
    </row>
    <row r="18" spans="1:20">
      <c r="A18" s="595"/>
      <c r="B18" s="595"/>
      <c r="C18" s="595"/>
      <c r="D18" s="595"/>
      <c r="E18" s="595"/>
      <c r="F18" s="595"/>
      <c r="G18" s="595"/>
      <c r="H18" s="595"/>
      <c r="I18" s="595"/>
      <c r="J18" s="595"/>
      <c r="K18" s="595"/>
      <c r="L18" s="595"/>
      <c r="M18" s="595"/>
      <c r="N18" s="595"/>
      <c r="O18" s="595"/>
      <c r="P18" s="595"/>
      <c r="Q18" s="595"/>
      <c r="R18" s="595"/>
      <c r="S18" s="595"/>
      <c r="T18" s="595"/>
    </row>
    <row r="19" spans="1:20">
      <c r="A19" s="595"/>
      <c r="B19" s="595"/>
      <c r="C19" s="595"/>
      <c r="D19" s="595"/>
      <c r="E19" s="595"/>
      <c r="F19" s="595"/>
      <c r="G19" s="595"/>
      <c r="H19" s="595"/>
      <c r="I19" s="595"/>
      <c r="J19" s="595"/>
      <c r="K19" s="595"/>
      <c r="L19" s="595"/>
      <c r="M19" s="595"/>
      <c r="N19" s="595"/>
      <c r="O19" s="595"/>
      <c r="P19" s="595"/>
      <c r="Q19" s="595"/>
      <c r="R19" s="595"/>
      <c r="S19" s="595"/>
      <c r="T19" s="595"/>
    </row>
    <row r="20" spans="1:20">
      <c r="A20" s="595"/>
      <c r="B20" s="595"/>
      <c r="C20" s="595"/>
      <c r="D20" s="595"/>
      <c r="E20" s="595"/>
      <c r="F20" s="595"/>
      <c r="G20" s="595"/>
      <c r="H20" s="595"/>
      <c r="I20" s="595"/>
      <c r="J20" s="595"/>
      <c r="K20" s="595"/>
      <c r="L20" s="595"/>
      <c r="M20" s="595"/>
      <c r="N20" s="595"/>
      <c r="O20" s="595"/>
      <c r="P20" s="595"/>
      <c r="Q20" s="595"/>
      <c r="R20" s="595"/>
      <c r="S20" s="595"/>
      <c r="T20" s="595"/>
    </row>
    <row r="21" spans="1:20">
      <c r="A21" s="471"/>
      <c r="B21" s="471"/>
      <c r="C21" s="471"/>
      <c r="D21" s="471"/>
      <c r="E21" s="471"/>
      <c r="F21" s="471"/>
      <c r="G21" s="471"/>
      <c r="H21" s="471"/>
      <c r="I21" s="471"/>
      <c r="J21" s="471"/>
      <c r="K21" s="471"/>
      <c r="L21" s="471"/>
      <c r="M21" s="471"/>
      <c r="N21" s="471"/>
      <c r="O21" s="471"/>
      <c r="P21" s="471"/>
      <c r="Q21" s="471"/>
      <c r="R21" s="471"/>
      <c r="S21" s="471"/>
      <c r="T21" s="471"/>
    </row>
    <row r="22" spans="1:20">
      <c r="A22" s="471"/>
      <c r="B22" s="471"/>
      <c r="C22" s="471"/>
      <c r="D22" s="471"/>
      <c r="E22" s="471"/>
      <c r="F22" s="471"/>
      <c r="G22" s="471"/>
      <c r="H22" s="471"/>
      <c r="I22" s="471"/>
      <c r="J22" s="471"/>
      <c r="K22" s="471"/>
      <c r="L22" s="471"/>
      <c r="M22" s="471"/>
      <c r="N22" s="471"/>
      <c r="O22" s="471"/>
      <c r="P22" s="471"/>
      <c r="Q22" s="471"/>
      <c r="R22" s="471"/>
      <c r="S22" s="471"/>
      <c r="T22" s="471"/>
    </row>
    <row r="23" spans="1:20">
      <c r="A23" s="471"/>
      <c r="B23" s="471"/>
      <c r="C23" s="471"/>
      <c r="D23" s="471"/>
      <c r="E23" s="471"/>
      <c r="F23" s="471"/>
      <c r="G23" s="471"/>
      <c r="H23" s="471"/>
      <c r="I23" s="471"/>
      <c r="J23" s="471"/>
      <c r="K23" s="471"/>
      <c r="L23" s="471"/>
      <c r="M23" s="471"/>
      <c r="N23" s="471"/>
      <c r="O23" s="471"/>
      <c r="P23" s="471"/>
      <c r="Q23" s="471"/>
      <c r="R23" s="471"/>
      <c r="S23" s="471"/>
      <c r="T23" s="471"/>
    </row>
    <row r="24" spans="1:20"/>
    <row r="25" spans="1:20"/>
    <row r="26" spans="1:20"/>
    <row r="27" spans="1:20">
      <c r="A27" s="963" t="s">
        <v>1975</v>
      </c>
      <c r="B27" s="856"/>
      <c r="C27" s="856"/>
      <c r="D27" s="856"/>
      <c r="E27" s="856"/>
      <c r="F27" s="856"/>
      <c r="G27" s="856"/>
      <c r="H27" s="856"/>
      <c r="I27" s="856"/>
      <c r="J27" s="856"/>
      <c r="K27" s="856"/>
      <c r="L27" s="856"/>
    </row>
    <row r="28" spans="1:20" ht="15" customHeight="1">
      <c r="J28" s="1270" t="s">
        <v>2057</v>
      </c>
      <c r="K28" s="1270"/>
      <c r="L28" s="1270"/>
      <c r="M28" s="1270"/>
      <c r="N28" s="1270"/>
      <c r="O28" s="1270"/>
      <c r="P28" s="1270"/>
      <c r="Q28" s="1270"/>
      <c r="R28" s="1270"/>
    </row>
    <row r="29" spans="1:20">
      <c r="A29" s="403"/>
      <c r="B29" s="403"/>
      <c r="C29" s="403"/>
      <c r="D29" s="403"/>
      <c r="E29" s="1205">
        <v>2015</v>
      </c>
      <c r="F29" s="1199"/>
      <c r="G29" s="472" t="s">
        <v>331</v>
      </c>
      <c r="J29" s="1270"/>
      <c r="K29" s="1270"/>
      <c r="L29" s="1270"/>
      <c r="M29" s="1270"/>
      <c r="N29" s="1270"/>
      <c r="O29" s="1270"/>
      <c r="P29" s="1270"/>
      <c r="Q29" s="1270"/>
      <c r="R29" s="1270"/>
    </row>
    <row r="30" spans="1:20">
      <c r="A30" s="473" t="s">
        <v>243</v>
      </c>
      <c r="B30" s="474"/>
      <c r="C30" s="474"/>
      <c r="D30" s="475"/>
      <c r="E30" s="1196">
        <v>48575</v>
      </c>
      <c r="F30" s="1198"/>
      <c r="G30" s="476">
        <v>1</v>
      </c>
    </row>
    <row r="31" spans="1:20">
      <c r="A31" s="473" t="s">
        <v>236</v>
      </c>
      <c r="B31" s="474"/>
      <c r="C31" s="474"/>
      <c r="D31" s="475"/>
      <c r="E31" s="1196">
        <v>44059</v>
      </c>
      <c r="F31" s="1198"/>
      <c r="G31" s="476">
        <v>2</v>
      </c>
      <c r="K31"/>
      <c r="L31"/>
      <c r="M31"/>
      <c r="N31"/>
      <c r="O31"/>
    </row>
    <row r="32" spans="1:20">
      <c r="A32" s="473" t="s">
        <v>235</v>
      </c>
      <c r="B32" s="474"/>
      <c r="C32" s="474"/>
      <c r="D32" s="475"/>
      <c r="E32" s="1196">
        <v>38303</v>
      </c>
      <c r="F32" s="1198"/>
      <c r="G32" s="476">
        <v>3</v>
      </c>
      <c r="K32"/>
      <c r="L32"/>
      <c r="M32"/>
      <c r="N32"/>
      <c r="O32"/>
    </row>
    <row r="33" spans="1:20">
      <c r="A33" s="473" t="s">
        <v>240</v>
      </c>
      <c r="B33" s="474"/>
      <c r="C33" s="474"/>
      <c r="D33" s="475"/>
      <c r="E33" s="1196">
        <v>37454</v>
      </c>
      <c r="F33" s="1198"/>
      <c r="G33" s="476">
        <v>4</v>
      </c>
      <c r="K33"/>
      <c r="L33"/>
      <c r="M33"/>
      <c r="N33"/>
      <c r="O33"/>
    </row>
    <row r="34" spans="1:20">
      <c r="A34" s="473" t="s">
        <v>234</v>
      </c>
      <c r="B34" s="474"/>
      <c r="C34" s="474"/>
      <c r="D34" s="475"/>
      <c r="E34" s="1196">
        <v>37310</v>
      </c>
      <c r="F34" s="1198"/>
      <c r="G34" s="476">
        <v>5</v>
      </c>
      <c r="K34"/>
      <c r="L34"/>
      <c r="M34"/>
      <c r="N34"/>
      <c r="O34"/>
    </row>
    <row r="35" spans="1:20">
      <c r="A35" s="473" t="s">
        <v>242</v>
      </c>
      <c r="B35" s="474"/>
      <c r="C35" s="474"/>
      <c r="D35" s="475"/>
      <c r="E35" s="1196">
        <v>36599</v>
      </c>
      <c r="F35" s="1198"/>
      <c r="G35" s="476">
        <v>6</v>
      </c>
      <c r="K35"/>
      <c r="L35"/>
      <c r="M35"/>
      <c r="N35"/>
      <c r="O35"/>
    </row>
    <row r="36" spans="1:20">
      <c r="A36" s="473" t="s">
        <v>114</v>
      </c>
      <c r="B36" s="474"/>
      <c r="C36" s="474"/>
      <c r="D36" s="475"/>
      <c r="E36" s="1196">
        <v>36155</v>
      </c>
      <c r="F36" s="1198"/>
      <c r="G36" s="476">
        <v>7</v>
      </c>
      <c r="K36"/>
      <c r="L36"/>
      <c r="M36"/>
      <c r="N36"/>
      <c r="O36"/>
    </row>
    <row r="37" spans="1:20">
      <c r="A37" s="473" t="s">
        <v>238</v>
      </c>
      <c r="B37" s="474"/>
      <c r="C37" s="474"/>
      <c r="D37" s="475"/>
      <c r="E37" s="1196">
        <v>36124</v>
      </c>
      <c r="F37" s="1198"/>
      <c r="G37" s="476">
        <v>8</v>
      </c>
      <c r="K37"/>
      <c r="L37"/>
      <c r="M37"/>
      <c r="N37"/>
      <c r="O37"/>
    </row>
    <row r="38" spans="1:20">
      <c r="A38" s="473" t="s">
        <v>244</v>
      </c>
      <c r="B38" s="474"/>
      <c r="C38" s="474"/>
      <c r="D38" s="475"/>
      <c r="E38" s="1196">
        <v>34534</v>
      </c>
      <c r="F38" s="1198"/>
      <c r="G38" s="476">
        <v>9</v>
      </c>
      <c r="K38"/>
      <c r="L38"/>
      <c r="M38"/>
      <c r="N38"/>
      <c r="O38"/>
    </row>
    <row r="39" spans="1:20">
      <c r="A39" s="473" t="s">
        <v>239</v>
      </c>
      <c r="B39" s="474"/>
      <c r="C39" s="474"/>
      <c r="D39" s="475"/>
      <c r="E39" s="1196">
        <v>34402</v>
      </c>
      <c r="F39" s="1198"/>
      <c r="G39" s="476">
        <v>10</v>
      </c>
      <c r="K39"/>
      <c r="L39"/>
      <c r="M39"/>
      <c r="N39"/>
      <c r="O39"/>
    </row>
    <row r="40" spans="1:20">
      <c r="A40" s="473" t="s">
        <v>241</v>
      </c>
      <c r="B40" s="474"/>
      <c r="C40" s="474"/>
      <c r="D40" s="475"/>
      <c r="E40" s="1196">
        <v>32233</v>
      </c>
      <c r="F40" s="1198"/>
      <c r="G40" s="476">
        <v>11</v>
      </c>
      <c r="K40"/>
      <c r="L40"/>
      <c r="M40"/>
      <c r="N40"/>
      <c r="O40"/>
    </row>
    <row r="41" spans="1:20">
      <c r="A41" s="473" t="s">
        <v>246</v>
      </c>
      <c r="B41" s="474"/>
      <c r="C41" s="474"/>
      <c r="D41" s="475"/>
      <c r="E41" s="1196">
        <v>31842</v>
      </c>
      <c r="F41" s="1198"/>
      <c r="G41" s="476">
        <v>12</v>
      </c>
      <c r="K41"/>
      <c r="L41"/>
      <c r="M41"/>
      <c r="N41"/>
      <c r="O41"/>
    </row>
    <row r="42" spans="1:20">
      <c r="A42" s="473" t="s">
        <v>237</v>
      </c>
      <c r="B42" s="474"/>
      <c r="C42" s="474"/>
      <c r="D42" s="475"/>
      <c r="E42" s="1196">
        <v>30770</v>
      </c>
      <c r="F42" s="1198"/>
      <c r="G42" s="476">
        <v>13</v>
      </c>
      <c r="K42"/>
      <c r="L42"/>
      <c r="M42"/>
      <c r="N42"/>
      <c r="O42"/>
    </row>
    <row r="43" spans="1:20">
      <c r="A43" s="473" t="s">
        <v>245</v>
      </c>
      <c r="B43" s="474"/>
      <c r="C43" s="474"/>
      <c r="D43" s="475"/>
      <c r="E43" s="1196">
        <v>26125</v>
      </c>
      <c r="F43" s="1198"/>
      <c r="G43" s="476">
        <v>14</v>
      </c>
      <c r="K43"/>
      <c r="L43"/>
      <c r="M43"/>
      <c r="N43"/>
      <c r="O43"/>
    </row>
    <row r="44" spans="1:20">
      <c r="A44" s="473" t="s">
        <v>247</v>
      </c>
      <c r="B44" s="474"/>
      <c r="C44" s="474"/>
      <c r="D44" s="475"/>
      <c r="E44" s="1196">
        <v>24500</v>
      </c>
      <c r="F44" s="1198"/>
      <c r="G44" s="476">
        <v>15</v>
      </c>
      <c r="K44"/>
      <c r="L44"/>
      <c r="M44"/>
      <c r="N44"/>
      <c r="O44"/>
    </row>
    <row r="45" spans="1:20">
      <c r="K45"/>
      <c r="L45"/>
      <c r="M45"/>
      <c r="N45"/>
      <c r="O45"/>
    </row>
    <row r="46" spans="1:20">
      <c r="K46"/>
      <c r="L46"/>
      <c r="M46"/>
      <c r="N46"/>
      <c r="O46"/>
    </row>
    <row r="47" spans="1:20">
      <c r="F47" s="818"/>
      <c r="G47" s="818"/>
      <c r="H47" s="818"/>
      <c r="I47" s="818"/>
      <c r="J47" s="818"/>
      <c r="K47" s="818"/>
      <c r="L47" s="818"/>
      <c r="M47" s="818"/>
      <c r="N47" s="818"/>
      <c r="O47" s="818"/>
      <c r="P47" s="818"/>
      <c r="Q47" s="818"/>
      <c r="R47" s="818"/>
      <c r="S47" s="818"/>
      <c r="T47" s="818"/>
    </row>
    <row r="48" spans="1:20">
      <c r="F48" s="818"/>
      <c r="G48" s="818"/>
      <c r="H48" s="818"/>
      <c r="I48" s="818"/>
      <c r="J48" s="818"/>
      <c r="K48" s="818"/>
      <c r="L48" s="818"/>
      <c r="M48" s="818"/>
      <c r="N48" s="818"/>
      <c r="O48" s="818"/>
      <c r="P48" s="818"/>
      <c r="Q48" s="818"/>
      <c r="R48" s="818"/>
      <c r="S48" s="818"/>
      <c r="T48" s="818"/>
    </row>
    <row r="49" spans="1:21">
      <c r="F49" s="818"/>
      <c r="G49" s="818"/>
      <c r="H49" s="818"/>
      <c r="I49" s="818"/>
      <c r="J49" s="818"/>
      <c r="K49" s="818"/>
      <c r="L49" s="818"/>
      <c r="M49" s="818"/>
      <c r="N49" s="818"/>
      <c r="O49" s="818"/>
      <c r="P49" s="818"/>
      <c r="Q49" s="818"/>
      <c r="R49" s="818"/>
      <c r="S49" s="818"/>
      <c r="T49" s="818"/>
    </row>
    <row r="50" spans="1:21">
      <c r="F50" s="818"/>
      <c r="G50" s="818"/>
      <c r="H50" s="818"/>
      <c r="I50" s="818"/>
      <c r="J50" s="818"/>
      <c r="K50" s="818"/>
      <c r="L50" s="818"/>
      <c r="M50" s="818"/>
      <c r="N50" s="818"/>
      <c r="O50" s="818"/>
      <c r="P50" s="818"/>
      <c r="Q50" s="818"/>
      <c r="R50" s="818"/>
      <c r="S50" s="818"/>
      <c r="T50" s="818"/>
    </row>
    <row r="51" spans="1:21"/>
    <row r="52" spans="1:21"/>
    <row r="53" spans="1:21" s="198" customFormat="1" ht="16.7" customHeight="1">
      <c r="A53" s="324"/>
      <c r="B53" s="427"/>
      <c r="C53" s="428"/>
      <c r="D53" s="428"/>
      <c r="E53" s="428"/>
      <c r="F53" s="1105" t="s">
        <v>1039</v>
      </c>
      <c r="G53" s="1105"/>
      <c r="H53" s="1105"/>
      <c r="I53" s="1105"/>
      <c r="J53" s="1105"/>
      <c r="K53" s="1105"/>
      <c r="L53" s="1105"/>
      <c r="M53" s="1105"/>
      <c r="N53" s="1105"/>
      <c r="O53" s="1105"/>
      <c r="P53" s="1105"/>
      <c r="Q53" s="1105"/>
      <c r="R53" s="1105"/>
      <c r="S53" s="1105"/>
      <c r="T53" s="1105"/>
      <c r="U53" s="593"/>
    </row>
    <row r="54" spans="1:21" s="198" customFormat="1" ht="16.7" customHeight="1">
      <c r="A54" s="429"/>
      <c r="B54" s="428"/>
      <c r="C54" s="428"/>
      <c r="D54" s="428"/>
      <c r="E54" s="428"/>
      <c r="F54" s="1105"/>
      <c r="G54" s="1105"/>
      <c r="H54" s="1105"/>
      <c r="I54" s="1105"/>
      <c r="J54" s="1105"/>
      <c r="K54" s="1105"/>
      <c r="L54" s="1105"/>
      <c r="M54" s="1105"/>
      <c r="N54" s="1105"/>
      <c r="O54" s="1105"/>
      <c r="P54" s="1105"/>
      <c r="Q54" s="1105"/>
      <c r="R54" s="1105"/>
      <c r="S54" s="1105"/>
      <c r="T54" s="1105"/>
      <c r="U54" s="593"/>
    </row>
    <row r="55" spans="1:21" s="198" customFormat="1" ht="16.7" customHeight="1">
      <c r="A55" s="430"/>
      <c r="B55" s="428"/>
      <c r="C55" s="428"/>
      <c r="D55" s="428"/>
      <c r="E55" s="428"/>
      <c r="F55" s="1105"/>
      <c r="G55" s="1105"/>
      <c r="H55" s="1105"/>
      <c r="I55" s="1105"/>
      <c r="J55" s="1105"/>
      <c r="K55" s="1105"/>
      <c r="L55" s="1105"/>
      <c r="M55" s="1105"/>
      <c r="N55" s="1105"/>
      <c r="O55" s="1105"/>
      <c r="P55" s="1105"/>
      <c r="Q55" s="1105"/>
      <c r="R55" s="1105"/>
      <c r="S55" s="1105"/>
      <c r="T55" s="1105"/>
      <c r="U55" s="593"/>
    </row>
    <row r="56" spans="1:21" ht="16.7" customHeight="1">
      <c r="A56"/>
      <c r="B56"/>
      <c r="C56"/>
      <c r="D56"/>
      <c r="E56"/>
      <c r="F56" s="1105"/>
      <c r="G56" s="1105"/>
      <c r="H56" s="1105"/>
      <c r="I56" s="1105"/>
      <c r="J56" s="1105"/>
      <c r="K56" s="1105"/>
      <c r="L56" s="1105"/>
      <c r="M56" s="1105"/>
      <c r="N56" s="1105"/>
      <c r="O56" s="1105"/>
      <c r="P56" s="1105"/>
      <c r="Q56" s="1105"/>
      <c r="R56" s="1105"/>
      <c r="S56" s="1105"/>
      <c r="T56" s="1105"/>
      <c r="U56" s="163"/>
    </row>
    <row r="57" spans="1:21" ht="5.25" customHeight="1">
      <c r="A57"/>
      <c r="B57"/>
      <c r="C57"/>
      <c r="D57"/>
      <c r="E57"/>
      <c r="F57"/>
      <c r="G57"/>
      <c r="H57"/>
      <c r="I57"/>
      <c r="J57"/>
      <c r="K57"/>
      <c r="L57"/>
      <c r="M57"/>
      <c r="N57"/>
      <c r="O57"/>
      <c r="P57"/>
      <c r="Q57"/>
      <c r="R57"/>
      <c r="S57"/>
      <c r="T57"/>
      <c r="U57" s="163"/>
    </row>
    <row r="58" spans="1:21" s="198" customFormat="1" ht="15" customHeight="1">
      <c r="A58" s="1102" t="s">
        <v>738</v>
      </c>
      <c r="B58" s="1102"/>
      <c r="C58" s="1102"/>
      <c r="D58" s="1102"/>
      <c r="E58" s="1102"/>
      <c r="F58" s="1102"/>
      <c r="G58" s="1102"/>
      <c r="H58" s="1102"/>
      <c r="I58" s="1102"/>
      <c r="J58" s="1102"/>
      <c r="K58" s="1102"/>
      <c r="L58" s="1102"/>
      <c r="M58" s="1102"/>
      <c r="N58" s="1102"/>
      <c r="O58" s="1102"/>
      <c r="P58" s="1102"/>
      <c r="Q58" s="1102"/>
      <c r="R58" s="1102"/>
      <c r="S58" s="1102"/>
      <c r="T58" s="1102"/>
      <c r="U58" s="784"/>
    </row>
    <row r="59" spans="1:21" s="198" customFormat="1" ht="15" customHeight="1" thickBot="1">
      <c r="A59" s="1102"/>
      <c r="B59" s="1102"/>
      <c r="C59" s="1102"/>
      <c r="D59" s="1102"/>
      <c r="E59" s="1102"/>
      <c r="F59" s="1102"/>
      <c r="G59" s="1102"/>
      <c r="H59" s="1102"/>
      <c r="I59" s="1102"/>
      <c r="J59" s="1102"/>
      <c r="K59" s="1102"/>
      <c r="L59" s="1102"/>
      <c r="M59" s="1102"/>
      <c r="N59" s="1102"/>
      <c r="O59" s="1102"/>
      <c r="P59" s="1102"/>
      <c r="Q59" s="1102"/>
      <c r="R59" s="1102"/>
      <c r="S59" s="1102"/>
      <c r="T59" s="1102"/>
      <c r="U59" s="784"/>
    </row>
    <row r="60" spans="1:21" s="377" customFormat="1" ht="14.25" thickTop="1" thickBot="1">
      <c r="A60" s="477" t="s">
        <v>1077</v>
      </c>
      <c r="B60" s="478"/>
      <c r="C60" s="479"/>
      <c r="D60" s="454"/>
      <c r="E60" s="559"/>
      <c r="F60" s="559"/>
      <c r="G60" s="559"/>
      <c r="H60" s="994" t="s">
        <v>114</v>
      </c>
      <c r="I60" s="995"/>
      <c r="J60" s="995"/>
      <c r="K60" s="996"/>
      <c r="L60" s="559"/>
      <c r="M60" s="559"/>
      <c r="N60" s="997" t="s">
        <v>236</v>
      </c>
      <c r="O60" s="998"/>
      <c r="P60" s="998"/>
      <c r="Q60" s="999"/>
      <c r="R60" s="559"/>
      <c r="S60" s="454"/>
      <c r="T60" s="454"/>
    </row>
    <row r="61" spans="1:21" ht="15.75" thickTop="1">
      <c r="A61" s="861" t="s">
        <v>1760</v>
      </c>
      <c r="B61" s="852"/>
      <c r="C61" s="852"/>
      <c r="D61" s="852"/>
      <c r="E61" s="852"/>
      <c r="F61" s="852"/>
      <c r="G61" s="852"/>
      <c r="H61" s="852"/>
      <c r="I61" s="852"/>
      <c r="J61" s="469"/>
    </row>
    <row r="62" spans="1:21">
      <c r="A62" s="399"/>
      <c r="B62" s="399">
        <v>2014</v>
      </c>
      <c r="C62" s="399">
        <v>2014</v>
      </c>
      <c r="D62" s="399">
        <v>2015</v>
      </c>
      <c r="E62" s="399">
        <v>2015</v>
      </c>
      <c r="F62" s="399">
        <v>2016</v>
      </c>
      <c r="G62" s="399">
        <v>2016</v>
      </c>
      <c r="H62" s="399">
        <v>2017</v>
      </c>
      <c r="I62" s="399">
        <v>2017</v>
      </c>
      <c r="J62" s="595"/>
      <c r="K62" s="471"/>
    </row>
    <row r="63" spans="1:21">
      <c r="A63" s="399" t="str">
        <f>H60</f>
        <v>Gironde</v>
      </c>
      <c r="B63" s="230">
        <f>VLOOKUP($H$60,'D_Ch4-3'!$V$4:$AD$19,MATCH("Exportations N-4",'D_Ch4-3'!$V$4:$AD$4,0),FALSE)</f>
        <v>6375</v>
      </c>
      <c r="C63" s="230">
        <f>VLOOKUP($H$60,'D_Ch4-3'!$V$4:$AD$19,MATCH("Importations N-4",'D_Ch4-3'!$V$4:$AD$4,0),FALSE)</f>
        <v>-7099</v>
      </c>
      <c r="D63" s="230">
        <f>VLOOKUP($H$60,'D_Ch4-3'!$V$4:$AD$19,MATCH("Exportations N-3",'D_Ch4-3'!$V$4:$AD$4,0),FALSE)</f>
        <v>6852</v>
      </c>
      <c r="E63" s="230">
        <f>VLOOKUP($H$60,'D_Ch4-3'!$V$4:$AD$19,MATCH("Importations N-3",'D_Ch4-3'!$V$4:$AD$4,0),FALSE)</f>
        <v>-6906</v>
      </c>
      <c r="F63" s="876">
        <f>VLOOKUP($H$60,'D_Ch4-3'!$V$4:$AD$19,MATCH("Exportations N-2",'D_Ch4-3'!$V$4:$AD$4,0),FALSE)</f>
        <v>6691.3166689999998</v>
      </c>
      <c r="G63" s="876">
        <f>VLOOKUP($H$60,'D_Ch4-3'!$V$4:$AD$19,MATCH("Importations N-2",'D_Ch4-3'!$V$4:$AD$4,0),FALSE)</f>
        <v>-7278.8395309999996</v>
      </c>
      <c r="H63" s="876">
        <f>VLOOKUP($H$60,'D_Ch4-3'!$V$4:$AD$19,MATCH("Exportations N-1",'D_Ch4-3'!$V$4:$AD$4,0),FALSE)</f>
        <v>7002.141466</v>
      </c>
      <c r="I63" s="876">
        <f>VLOOKUP($H$60,'D_Ch4-3'!$V$4:$AD$19,MATCH("Importations N-1",'D_Ch4-3'!$V$4:$AD$4,0),FALSE)</f>
        <v>-7472.6676930000003</v>
      </c>
      <c r="J63" s="926"/>
      <c r="K63" s="877"/>
      <c r="L63" s="873"/>
      <c r="M63" s="873"/>
      <c r="N63" s="873"/>
      <c r="O63" s="873"/>
      <c r="P63" s="873"/>
      <c r="Q63" s="873"/>
      <c r="R63" s="873"/>
      <c r="S63" s="873"/>
      <c r="T63" s="873"/>
    </row>
    <row r="64" spans="1:21">
      <c r="A64" s="399" t="str">
        <f>N60</f>
        <v>Haute-Garonne</v>
      </c>
      <c r="B64" s="230">
        <f>VLOOKUP($N$60,'D_Ch4-3'!$V$4:$AD$19,MATCH("Exportations N-4",'D_Ch4-3'!$V$4:$AD$4,0),FALSE)</f>
        <v>41085</v>
      </c>
      <c r="C64" s="230">
        <f>VLOOKUP($N$60,'D_Ch4-3'!$V$4:$AD$19,MATCH("Importations N-4",'D_Ch4-3'!$V$4:$AD$4,0),FALSE)</f>
        <v>-28593</v>
      </c>
      <c r="D64" s="230">
        <f>VLOOKUP($N$60,'D_Ch4-3'!$V$4:$AD$19,MATCH("Exportations N-3",'D_Ch4-3'!$V$4:$AD$4,0),FALSE)</f>
        <v>44666</v>
      </c>
      <c r="E64" s="230">
        <f>VLOOKUP($N$60,'D_Ch4-3'!$V$4:$AD$19,MATCH("Importations N-3",'D_Ch4-3'!$V$4:$AD$4,0),FALSE)</f>
        <v>-30992</v>
      </c>
      <c r="F64" s="876">
        <f>VLOOKUP($N$60,'D_Ch4-3'!$V$4:$AD$19,MATCH("Exportations N-2",'D_Ch4-3'!$V$4:$AD$4,0),FALSE)</f>
        <v>31792.364573999999</v>
      </c>
      <c r="G64" s="876">
        <f>VLOOKUP($N$60,'D_Ch4-3'!$V$4:$AD$19,MATCH("Importations N-2",'D_Ch4-3'!$V$4:$AD$4,0),FALSE)</f>
        <v>-18416.61738</v>
      </c>
      <c r="H64" s="876">
        <f>VLOOKUP($N$60,'D_Ch4-3'!$V$4:$AD$19,MATCH("Exportations N-1",'D_Ch4-3'!$V$4:$AD$4,0),FALSE)</f>
        <v>41241.919608999997</v>
      </c>
      <c r="I64" s="876">
        <f>VLOOKUP($N$60,'D_Ch4-3'!$V$4:$AD$19,MATCH("Importations N-1",'D_Ch4-3'!$V$4:$AD$4,0),FALSE)</f>
        <v>-31184.532310999999</v>
      </c>
      <c r="J64" s="926"/>
      <c r="K64" s="877"/>
      <c r="L64" s="873"/>
      <c r="M64" s="873"/>
      <c r="N64" s="873"/>
      <c r="O64" s="873"/>
      <c r="P64" s="873"/>
      <c r="Q64" s="873"/>
      <c r="R64" s="873"/>
      <c r="S64" s="873"/>
      <c r="T64" s="873"/>
    </row>
    <row r="65" spans="1:21">
      <c r="A65" s="399" t="s">
        <v>762</v>
      </c>
      <c r="B65" s="399" t="s">
        <v>761</v>
      </c>
      <c r="C65" s="399"/>
      <c r="D65" s="399"/>
      <c r="E65" s="399"/>
      <c r="F65" s="399"/>
      <c r="G65" s="399"/>
      <c r="H65" s="399"/>
      <c r="I65" s="399"/>
      <c r="J65" s="595"/>
      <c r="K65" s="471"/>
    </row>
    <row r="66" spans="1:21">
      <c r="A66" s="399"/>
      <c r="B66" s="399"/>
      <c r="C66" s="399"/>
      <c r="D66" s="399"/>
      <c r="E66" s="399"/>
      <c r="F66" s="399"/>
      <c r="G66" s="399"/>
      <c r="H66" s="399"/>
      <c r="I66" s="399"/>
      <c r="J66" s="595"/>
    </row>
    <row r="67" spans="1:21"/>
    <row r="68" spans="1:21"/>
    <row r="69" spans="1:21"/>
    <row r="70" spans="1:21"/>
    <row r="71" spans="1:21" s="228" customFormat="1">
      <c r="A71" s="480"/>
      <c r="B71" s="480"/>
      <c r="C71" s="480"/>
      <c r="D71" s="480"/>
      <c r="E71" s="480"/>
      <c r="F71" s="480"/>
      <c r="G71" s="480"/>
      <c r="H71" s="480"/>
      <c r="I71" s="480"/>
      <c r="J71" s="480"/>
      <c r="K71" s="480"/>
      <c r="L71" s="480"/>
      <c r="M71" s="480"/>
      <c r="N71" s="480"/>
      <c r="O71" s="480"/>
      <c r="P71" s="480"/>
      <c r="Q71" s="480"/>
      <c r="R71" s="480"/>
      <c r="S71" s="480"/>
      <c r="T71" s="480"/>
    </row>
    <row r="72" spans="1:21" s="228" customFormat="1" ht="13.5" customHeight="1" thickBot="1">
      <c r="A72" s="480"/>
      <c r="B72" s="480"/>
      <c r="C72" s="480"/>
      <c r="D72" s="480"/>
      <c r="E72" s="480"/>
      <c r="F72" s="480"/>
      <c r="G72" s="480"/>
      <c r="H72" s="480"/>
      <c r="I72" s="480"/>
      <c r="J72" s="480"/>
      <c r="K72" s="480"/>
      <c r="L72" s="480"/>
      <c r="M72" s="480"/>
      <c r="N72" s="480"/>
      <c r="O72" s="480"/>
      <c r="P72" s="480"/>
      <c r="Q72" s="480"/>
      <c r="R72" s="480"/>
      <c r="S72" s="480"/>
      <c r="T72" s="480"/>
    </row>
    <row r="73" spans="1:21" ht="7.5" customHeight="1">
      <c r="A73" s="481"/>
      <c r="B73" s="482"/>
      <c r="C73" s="482"/>
      <c r="D73" s="482"/>
      <c r="E73" s="482"/>
      <c r="F73" s="482"/>
      <c r="G73" s="482"/>
      <c r="H73" s="482"/>
      <c r="I73" s="482"/>
      <c r="J73" s="482"/>
      <c r="K73" s="482"/>
      <c r="L73" s="482"/>
      <c r="M73" s="482"/>
      <c r="N73" s="482"/>
      <c r="O73" s="482"/>
      <c r="P73" s="482"/>
      <c r="Q73" s="482"/>
      <c r="R73" s="482"/>
      <c r="S73" s="482"/>
      <c r="T73" s="483"/>
    </row>
    <row r="74" spans="1:21">
      <c r="A74" s="484" t="s">
        <v>1976</v>
      </c>
      <c r="B74" s="485"/>
      <c r="C74" s="485"/>
      <c r="D74" s="485"/>
      <c r="E74" s="485"/>
      <c r="F74" s="485"/>
      <c r="G74" s="486"/>
      <c r="H74" s="487"/>
      <c r="I74" s="487"/>
      <c r="J74" s="487"/>
      <c r="K74" s="487"/>
      <c r="L74" s="487"/>
      <c r="M74" s="487"/>
      <c r="N74" s="487"/>
      <c r="O74" s="487"/>
      <c r="P74" s="487"/>
      <c r="Q74" s="487"/>
      <c r="R74" s="487"/>
      <c r="S74" s="487"/>
      <c r="T74" s="488"/>
    </row>
    <row r="75" spans="1:21" ht="17.25">
      <c r="A75" s="489"/>
      <c r="B75"/>
      <c r="C75" s="964">
        <f>VLOOKUP($H$60,'D_Ch4-3'!$K$4:$Z$19,MATCH("evol 2017-2016",'D_Ch4-3'!$K$4:$Z$4,0),FALSE)</f>
        <v>0.19913545934489954</v>
      </c>
      <c r="D75"/>
      <c r="E75"/>
      <c r="F75"/>
      <c r="G75"/>
      <c r="H75"/>
      <c r="I75" s="1275">
        <f>VLOOKUP($H$60,'D_Ch4-3'!$K$4:$N$19,MATCH("balance commerciale N-1",'D_Ch4-3'!$K$4:$N$4,0),FALSE)</f>
        <v>-470.52622700000001</v>
      </c>
      <c r="J75" s="1275"/>
      <c r="K75" s="967">
        <f>C75</f>
        <v>0.19913545934489954</v>
      </c>
      <c r="L75" s="1274">
        <f>VLOOKUP($H$60,'D_Ch4-3'!$K$4:$Z$19,MATCH("evol 2017-2016",'D_Ch4-3'!$K$4:$Z$4,0),FALSE)</f>
        <v>0.19913545934489954</v>
      </c>
      <c r="M75" s="1274"/>
      <c r="N75" s="964">
        <f>VLOOKUP($N$60,'D_Ch4-3'!$K$4:$Z$19,MATCH("evol 2017-2016",'D_Ch4-3'!$K$4:$Z$4,0),FALSE)</f>
        <v>0.24808781504845778</v>
      </c>
      <c r="O75" s="1266">
        <f>VLOOKUP($N$60,'D_Ch4-3'!$K$4:$N$19,MATCH("balance commerciale N-1",'D_Ch4-3'!$K$4:$N$4,0),FALSE)</f>
        <v>10057.387298</v>
      </c>
      <c r="P75" s="1266"/>
      <c r="Q75" s="966">
        <f>N75</f>
        <v>0.24808781504845778</v>
      </c>
      <c r="R75" s="1274">
        <f>VLOOKUP($N$60,'D_Ch4-3'!$K$4:$Z$19,MATCH("evol 2017-2016",'D_Ch4-3'!$K$4:$Z$4,0),FALSE)</f>
        <v>0.24808781504845778</v>
      </c>
      <c r="S75" s="1274"/>
      <c r="T75" s="488"/>
    </row>
    <row r="76" spans="1:21" ht="5.25" customHeight="1" thickBot="1">
      <c r="A76" s="490"/>
      <c r="B76" s="491"/>
      <c r="C76" s="491"/>
      <c r="D76" s="491"/>
      <c r="E76" s="491"/>
      <c r="F76" s="491"/>
      <c r="G76" s="491"/>
      <c r="H76" s="491"/>
      <c r="I76" s="491"/>
      <c r="J76" s="491"/>
      <c r="K76" s="491"/>
      <c r="L76" s="491"/>
      <c r="M76" s="491"/>
      <c r="N76" s="491"/>
      <c r="O76" s="491"/>
      <c r="P76" s="491"/>
      <c r="Q76" s="491"/>
      <c r="R76" s="491"/>
      <c r="S76" s="491"/>
      <c r="T76" s="492"/>
    </row>
    <row r="77" spans="1:21">
      <c r="A77" s="425" t="s">
        <v>1485</v>
      </c>
    </row>
    <row r="78" spans="1:21" ht="10.5" customHeight="1"/>
    <row r="79" spans="1:21" ht="21" customHeight="1">
      <c r="A79" s="1279" t="s">
        <v>1482</v>
      </c>
      <c r="B79" s="1280"/>
      <c r="C79" s="1280"/>
      <c r="D79" s="1280"/>
      <c r="E79" s="1281"/>
      <c r="F79" s="1279" t="s">
        <v>1483</v>
      </c>
      <c r="G79" s="1280"/>
      <c r="H79" s="1281"/>
      <c r="I79" s="493" t="s">
        <v>807</v>
      </c>
      <c r="K79" s="1276" t="s">
        <v>1482</v>
      </c>
      <c r="L79" s="1277"/>
      <c r="M79" s="1277"/>
      <c r="N79" s="1277"/>
      <c r="O79" s="1278"/>
      <c r="P79" s="1276" t="s">
        <v>1483</v>
      </c>
      <c r="Q79" s="1277"/>
      <c r="R79" s="1278"/>
      <c r="S79" s="496" t="s">
        <v>807</v>
      </c>
    </row>
    <row r="80" spans="1:21" ht="24" customHeight="1">
      <c r="A80" s="1267" t="str">
        <f>VLOOKUP((CONCATENATE($H$60,1)),'D_Ch4-3'!$D$4:$I$155,MATCH("Lib_CPF4",'D_Ch4-3'!$D$4:$I$4,0),FALSE)</f>
        <v>Vins de raisin</v>
      </c>
      <c r="B80" s="1268"/>
      <c r="C80" s="1268"/>
      <c r="D80" s="1268"/>
      <c r="E80" s="1269"/>
      <c r="F80" s="1263">
        <f>(VLOOKUP((CONCATENATE($H$60,1)),'D_Ch4-3'!$D$4:$I$155,MATCH("Valeur en euros",'D_Ch4-3'!$D$4:$I$4,0),FALSE))/1000</f>
        <v>2149523.5699999998</v>
      </c>
      <c r="G80" s="1264"/>
      <c r="H80" s="1265"/>
      <c r="I80" s="494">
        <f>(VLOOKUP((CONCATENATE($H$60,1)),'D_Ch4-3'!$D$4:$I$155,MATCH("Part ",'D_Ch4-3'!$D$4:$I$4,0),FALSE))</f>
        <v>0.30698088298234905</v>
      </c>
      <c r="J80" s="403"/>
      <c r="K80" s="1267" t="str">
        <f>VLOOKUP((CONCATENATE($N$60,1)),'D_Ch4-3'!$D$4:$I$155,MATCH("Lib_CPF4",'D_Ch4-3'!$D$4:$I$4,0),FALSE)</f>
        <v>Aéronefs et engins spatiaux</v>
      </c>
      <c r="L80" s="1268"/>
      <c r="M80" s="1268"/>
      <c r="N80" s="1268"/>
      <c r="O80" s="1269"/>
      <c r="P80" s="1263">
        <f>(VLOOKUP((CONCATENATE($N$60,1)),'D_Ch4-3'!$D$4:$I$155,MATCH("Valeur en euros",'D_Ch4-3'!$D$4:$I$4,0),FALSE))/1000</f>
        <v>37225010.586999997</v>
      </c>
      <c r="Q80" s="1264"/>
      <c r="R80" s="1265"/>
      <c r="S80" s="494">
        <f>(VLOOKUP((CONCATENATE($N$60,1)),'D_Ch4-3'!$D$4:$I$155,MATCH("Part ",'D_Ch4-3'!$D$4:$I$4,0),FALSE))</f>
        <v>0.90260130808451966</v>
      </c>
      <c r="U80" s="124"/>
    </row>
    <row r="81" spans="1:21" ht="32.25" customHeight="1">
      <c r="A81" s="1267" t="str">
        <f>VLOOKUP((CONCATENATE($H$60,2)),'D_Ch4-3'!$D$4:$I$155,MATCH("Lib_CPF4",'D_Ch4-3'!$D$4:$I$4,0),FALSE)</f>
        <v>Aéronefs et engins spatiaux</v>
      </c>
      <c r="B81" s="1268"/>
      <c r="C81" s="1268"/>
      <c r="D81" s="1268"/>
      <c r="E81" s="1269"/>
      <c r="F81" s="1271">
        <f>(VLOOKUP((CONCATENATE($H$60,2)),'D_Ch4-3'!$D$4:$I$155,MATCH("Valeur en euros",'D_Ch4-3'!$D$4:$I$4,0),FALSE))/1000</f>
        <v>1514510.892</v>
      </c>
      <c r="G81" s="1272"/>
      <c r="H81" s="1273"/>
      <c r="I81" s="495">
        <f>(VLOOKUP((CONCATENATE($H$60,2)),'D_Ch4-3'!$D$4:$I$155,MATCH("Part ",'D_Ch4-3'!$D$4:$I$4,0),FALSE))</f>
        <v>0.21629252984304101</v>
      </c>
      <c r="J81" s="403"/>
      <c r="K81" s="1267" t="str">
        <f>VLOOKUP((CONCATENATE($N$60,2)),'D_Ch4-3'!$D$4:$I$155,MATCH("Lib_CPF4",'D_Ch4-3'!$D$4:$I$4,0),FALSE)</f>
        <v>Instruments et appareils de mesure, d'essai et de navigation</v>
      </c>
      <c r="L81" s="1268"/>
      <c r="M81" s="1268"/>
      <c r="N81" s="1268"/>
      <c r="O81" s="1269"/>
      <c r="P81" s="1271">
        <f>(VLOOKUP((CONCATENATE($N$60,2)),'D_Ch4-3'!$D$4:$I$155,MATCH("Valeur en euros",'D_Ch4-3'!$D$4:$I$4,0),FALSE))/1000</f>
        <v>620674.06900000002</v>
      </c>
      <c r="Q81" s="1272"/>
      <c r="R81" s="1273"/>
      <c r="S81" s="495">
        <f>(VLOOKUP((CONCATENATE($N$60,2)),'D_Ch4-3'!$D$4:$I$155,MATCH("Part ",'D_Ch4-3'!$D$4:$I$4,0),FALSE))</f>
        <v>1.5049592135487158E-2</v>
      </c>
      <c r="U81" s="124"/>
    </row>
    <row r="82" spans="1:21" ht="28.5" customHeight="1">
      <c r="A82" s="1267" t="str">
        <f>VLOOKUP((CONCATENATE($H$60,3)),'D_Ch4-3'!$D$4:$I$155,MATCH("Lib_CPF4",'D_Ch4-3'!$D$4:$I$4,0),FALSE)</f>
        <v>Autres parties et accessoires pour véhicules automobiles</v>
      </c>
      <c r="B82" s="1268"/>
      <c r="C82" s="1268"/>
      <c r="D82" s="1268"/>
      <c r="E82" s="1269"/>
      <c r="F82" s="1271">
        <f>(VLOOKUP((CONCATENATE($H$60,3)),'D_Ch4-3'!$D$4:$I$155,MATCH("Valeur en euros",'D_Ch4-3'!$D$4:$I$4,0),FALSE))/1000</f>
        <v>378331.31900000002</v>
      </c>
      <c r="G82" s="1272"/>
      <c r="H82" s="1273"/>
      <c r="I82" s="495">
        <f>(VLOOKUP((CONCATENATE($H$60,3)),'D_Ch4-3'!$D$4:$I$155,MATCH("Part ",'D_Ch4-3'!$D$4:$I$4,0),FALSE))</f>
        <v>5.4030801982086089E-2</v>
      </c>
      <c r="J82" s="403"/>
      <c r="K82" s="1267" t="str">
        <f>VLOOKUP((CONCATENATE($N$60,3)),'D_Ch4-3'!$D$4:$I$155,MATCH("Lib_CPF4",'D_Ch4-3'!$D$4:$I$4,0),FALSE)</f>
        <v>Préparations pharmaceutiques</v>
      </c>
      <c r="L82" s="1268"/>
      <c r="M82" s="1268"/>
      <c r="N82" s="1268"/>
      <c r="O82" s="1269"/>
      <c r="P82" s="1271">
        <f>(VLOOKUP((CONCATENATE($N$60,3)),'D_Ch4-3'!$D$4:$I$155,MATCH("Valeur en euros",'D_Ch4-3'!$D$4:$I$4,0),FALSE))/1000</f>
        <v>248228.04500000001</v>
      </c>
      <c r="Q82" s="1272"/>
      <c r="R82" s="1273"/>
      <c r="S82" s="495">
        <f>(VLOOKUP((CONCATENATE($N$60,3)),'D_Ch4-3'!$D$4:$I$155,MATCH("Part ",'D_Ch4-3'!$D$4:$I$4,0),FALSE))</f>
        <v>6.0188285936581517E-3</v>
      </c>
      <c r="U82" s="124"/>
    </row>
    <row r="83" spans="1:21" ht="26.25" customHeight="1">
      <c r="A83" s="1267" t="str">
        <f>VLOOKUP((CONCATENATE($H$60,4)),'D_Ch4-3'!$D$4:$I$155,MATCH("Lib_CPF4",'D_Ch4-3'!$D$4:$I$4,0),FALSE)</f>
        <v>Préparations pharmaceutiques</v>
      </c>
      <c r="B83" s="1268"/>
      <c r="C83" s="1268"/>
      <c r="D83" s="1268"/>
      <c r="E83" s="1269"/>
      <c r="F83" s="1271">
        <f>(VLOOKUP((CONCATENATE($H$60,4)),'D_Ch4-3'!$D$4:$I$155,MATCH("Valeur en euros",'D_Ch4-3'!$D$4:$I$4,0),FALSE))/1000</f>
        <v>368685.83600000001</v>
      </c>
      <c r="G83" s="1272"/>
      <c r="H83" s="1273"/>
      <c r="I83" s="495">
        <f>(VLOOKUP((CONCATENATE($H$60,4)),'D_Ch4-3'!$D$4:$I$155,MATCH("Part ",'D_Ch4-3'!$D$4:$I$4,0),FALSE))</f>
        <v>5.2653297250592854E-2</v>
      </c>
      <c r="J83" s="403"/>
      <c r="K83" s="1267" t="str">
        <f>VLOOKUP((CONCATENATE($N$60,4)),'D_Ch4-3'!$D$4:$I$155,MATCH("Lib_CPF4",'D_Ch4-3'!$D$4:$I$4,0),FALSE)</f>
        <v>Équipements de communication</v>
      </c>
      <c r="L83" s="1268"/>
      <c r="M83" s="1268"/>
      <c r="N83" s="1268"/>
      <c r="O83" s="1269"/>
      <c r="P83" s="1271">
        <f>(VLOOKUP((CONCATENATE($N$60,4)),'D_Ch4-3'!$D$4:$I$155,MATCH("Valeur en euros",'D_Ch4-3'!$D$4:$I$4,0),FALSE))/1000</f>
        <v>245152.43400000001</v>
      </c>
      <c r="Q83" s="1272"/>
      <c r="R83" s="1273"/>
      <c r="S83" s="495">
        <f>(VLOOKUP((CONCATENATE($N$60,4)),'D_Ch4-3'!$D$4:$I$155,MATCH("Part ",'D_Ch4-3'!$D$4:$I$4,0),FALSE))</f>
        <v>5.9442537186484819E-3</v>
      </c>
      <c r="U83" s="124"/>
    </row>
    <row r="84" spans="1:21" ht="30.75" customHeight="1">
      <c r="A84" s="1260" t="str">
        <f>VLOOKUP((CONCATENATE($H$60,5)),'D_Ch4-3'!$D$4:$I$155,MATCH("Lib_CPF4",'D_Ch4-3'!$D$4:$I$4,0),FALSE)</f>
        <v>Caoutchouc synthétique sous formes primaires</v>
      </c>
      <c r="B84" s="1261"/>
      <c r="C84" s="1261"/>
      <c r="D84" s="1261"/>
      <c r="E84" s="1262"/>
      <c r="F84" s="1271">
        <f>(VLOOKUP((CONCATENATE($H$60,5)),'D_Ch4-3'!$D$4:$I$155,MATCH("Valeur en euros",'D_Ch4-3'!$D$4:$I$4,0),FALSE))/1000</f>
        <v>220078.40700000001</v>
      </c>
      <c r="G84" s="1272"/>
      <c r="H84" s="1273"/>
      <c r="I84" s="495">
        <f>(VLOOKUP((CONCATENATE($H$60,5)),'D_Ch4-3'!$D$4:$I$155,MATCH("Part ",'D_Ch4-3'!$D$4:$I$4,0),FALSE))</f>
        <v>3.1430157198140789E-2</v>
      </c>
      <c r="J84" s="403"/>
      <c r="K84" s="1260" t="str">
        <f>VLOOKUP((CONCATENATE($N$60,5)),'D_Ch4-3'!$D$4:$I$155,MATCH("Lib_CPF4",'D_Ch4-3'!$D$4:$I$4,0),FALSE)</f>
        <v>Parfums et produits pour la toilette</v>
      </c>
      <c r="L84" s="1261"/>
      <c r="M84" s="1261"/>
      <c r="N84" s="1261"/>
      <c r="O84" s="1262"/>
      <c r="P84" s="1271">
        <f>(VLOOKUP((CONCATENATE($N$60,5)),'D_Ch4-3'!$D$4:$I$155,MATCH("Valeur en euros",'D_Ch4-3'!$D$4:$I$4,0),FALSE))/1000</f>
        <v>239037.79399999999</v>
      </c>
      <c r="Q84" s="1272"/>
      <c r="R84" s="1273"/>
      <c r="S84" s="495">
        <f>(VLOOKUP((CONCATENATE($N$60,5)),'D_Ch4-3'!$D$4:$I$155,MATCH("Part ",'D_Ch4-3'!$D$4:$I$4,0),FALSE))</f>
        <v>5.795990978747655E-3</v>
      </c>
      <c r="U84" s="124"/>
    </row>
    <row r="85" spans="1:21"/>
    <row r="86" spans="1:21" ht="19.5" customHeight="1">
      <c r="A86" s="1279" t="s">
        <v>1484</v>
      </c>
      <c r="B86" s="1280"/>
      <c r="C86" s="1280"/>
      <c r="D86" s="1280"/>
      <c r="E86" s="1281"/>
      <c r="F86" s="1279" t="s">
        <v>1483</v>
      </c>
      <c r="G86" s="1280"/>
      <c r="H86" s="1281"/>
      <c r="I86" s="493" t="s">
        <v>807</v>
      </c>
      <c r="J86" s="403"/>
      <c r="K86" s="1276" t="s">
        <v>1484</v>
      </c>
      <c r="L86" s="1277"/>
      <c r="M86" s="1277"/>
      <c r="N86" s="1277"/>
      <c r="O86" s="1278"/>
      <c r="P86" s="1276" t="s">
        <v>1483</v>
      </c>
      <c r="Q86" s="1277"/>
      <c r="R86" s="1278"/>
      <c r="S86" s="496" t="s">
        <v>807</v>
      </c>
    </row>
    <row r="87" spans="1:21" ht="28.5" customHeight="1">
      <c r="A87" s="1267" t="str">
        <f>VLOOKUP((CONCATENATE($H$60,-1)),'D_Ch4-3'!$D$4:$I$155,MATCH("Lib_CPF4",'D_Ch4-3'!$D$4:$I$4,0),FALSE)</f>
        <v>Produits du raffinage du pétrole</v>
      </c>
      <c r="B87" s="1268"/>
      <c r="C87" s="1268"/>
      <c r="D87" s="1268"/>
      <c r="E87" s="1269"/>
      <c r="F87" s="1263">
        <f>(VLOOKUP((CONCATENATE($H$60,-1)),'D_Ch4-3'!$D$4:$I$155,MATCH("Valeur en euros",'D_Ch4-3'!$D$4:$I$4,0),FALSE))/1000</f>
        <v>1326380.2560000001</v>
      </c>
      <c r="G87" s="1264"/>
      <c r="H87" s="1265"/>
      <c r="I87" s="494">
        <f>(VLOOKUP((CONCATENATE($H$60,-1)),'D_Ch4-3'!$D$4:$I$155,MATCH("Part ",'D_Ch4-3'!$D$4:$I$4,0),FALSE))</f>
        <v>0.17749755649411292</v>
      </c>
      <c r="J87" s="403"/>
      <c r="K87" s="1267" t="str">
        <f>VLOOKUP((CONCATENATE($N$60,-1)),'D_Ch4-3'!$D$4:$I$155,MATCH("Lib_CPF4",'D_Ch4-3'!$D$4:$I$4,0),FALSE)</f>
        <v>Aéronefs et engins spatiaux</v>
      </c>
      <c r="L87" s="1268"/>
      <c r="M87" s="1268"/>
      <c r="N87" s="1268"/>
      <c r="O87" s="1269"/>
      <c r="P87" s="1263">
        <f>(VLOOKUP((CONCATENATE($N$60,-1)),'D_Ch4-3'!$D$4:$I$155,MATCH("Valeur en euros",'D_Ch4-3'!$D$4:$I$4,0),FALSE))/1000</f>
        <v>25593469.625999998</v>
      </c>
      <c r="Q87" s="1264"/>
      <c r="R87" s="1265"/>
      <c r="S87" s="497">
        <f>(VLOOKUP((CONCATENATE($N$60,-1)),'D_Ch4-3'!$D$4:$I$155,MATCH("Part ",'D_Ch4-3'!$D$4:$I$4,0),FALSE))</f>
        <v>0.82071038843100386</v>
      </c>
    </row>
    <row r="88" spans="1:21" ht="28.5" customHeight="1">
      <c r="A88" s="1267" t="str">
        <f>VLOOKUP((CONCATENATE($H$60,-2)),'D_Ch4-3'!$D$4:$I$155,MATCH("Lib_CPF4",'D_Ch4-3'!$D$4:$I$4,0),FALSE)</f>
        <v>Aéronefs et engins spatiaux</v>
      </c>
      <c r="B88" s="1268"/>
      <c r="C88" s="1268"/>
      <c r="D88" s="1268"/>
      <c r="E88" s="1269"/>
      <c r="F88" s="1271">
        <f>(VLOOKUP((CONCATENATE($H$60,-2)),'D_Ch4-3'!$D$4:$I$155,MATCH("Valeur en euros",'D_Ch4-3'!$D$4:$I$4,0),FALSE))/1000</f>
        <v>747090.63</v>
      </c>
      <c r="G88" s="1272"/>
      <c r="H88" s="1273"/>
      <c r="I88" s="495">
        <f>(VLOOKUP((CONCATENATE($H$60,-2)),'D_Ch4-3'!$D$4:$I$155,MATCH("Part ",'D_Ch4-3'!$D$4:$I$4,0),FALSE))</f>
        <v>9.9976428859513591E-2</v>
      </c>
      <c r="J88" s="403"/>
      <c r="K88" s="1267" t="s">
        <v>404</v>
      </c>
      <c r="L88" s="1268"/>
      <c r="M88" s="1268"/>
      <c r="N88" s="1268"/>
      <c r="O88" s="1269"/>
      <c r="P88" s="1271">
        <f>(VLOOKUP((CONCATENATE($N$60,-2)),'D_Ch4-3'!$D$4:$I$155,MATCH("Valeur en euros",'D_Ch4-3'!$D$4:$I$4,0),FALSE))/1000</f>
        <v>372130.41899999999</v>
      </c>
      <c r="Q88" s="1272"/>
      <c r="R88" s="1273"/>
      <c r="S88" s="498">
        <f>(VLOOKUP((CONCATENATE($N$60,-2)),'D_Ch4-3'!$D$4:$I$155,MATCH("Part ",'D_Ch4-3'!$D$4:$I$4,0),FALSE))</f>
        <v>1.1933173000280498E-2</v>
      </c>
    </row>
    <row r="89" spans="1:21" ht="27.75" customHeight="1">
      <c r="A89" s="1267" t="str">
        <f>VLOOKUP((CONCATENATE($H$60,-3)),'D_Ch4-3'!$D$4:$I$155,MATCH("Lib_CPF4",'D_Ch4-3'!$D$4:$I$4,0),FALSE)</f>
        <v>Véhicules automobiles</v>
      </c>
      <c r="B89" s="1268"/>
      <c r="C89" s="1268"/>
      <c r="D89" s="1268"/>
      <c r="E89" s="1269"/>
      <c r="F89" s="1271">
        <f>(VLOOKUP((CONCATENATE($H$60,-3)),'D_Ch4-3'!$D$4:$I$155,MATCH("Valeur en euros",'D_Ch4-3'!$D$4:$I$4,0),FALSE))/1000</f>
        <v>583863.31900000002</v>
      </c>
      <c r="G89" s="1272"/>
      <c r="H89" s="1273"/>
      <c r="I89" s="495">
        <f>(VLOOKUP((CONCATENATE($H$60,-3)),'D_Ch4-3'!$D$4:$I$155,MATCH("Part ",'D_Ch4-3'!$D$4:$I$4,0),FALSE))</f>
        <v>7.8133183889192923E-2</v>
      </c>
      <c r="J89" s="403"/>
      <c r="K89" s="1267" t="str">
        <f>VLOOKUP((CONCATENATE($N$60,-3)),'D_Ch4-3'!$D$4:$I$155,MATCH("Lib_CPF4",'D_Ch4-3'!$D$4:$I$4,0),FALSE)</f>
        <v>Équipements électriques et électroniques automobiles</v>
      </c>
      <c r="L89" s="1268"/>
      <c r="M89" s="1268"/>
      <c r="N89" s="1268"/>
      <c r="O89" s="1269"/>
      <c r="P89" s="1271">
        <f>(VLOOKUP((CONCATENATE($N$60,-3)),'D_Ch4-3'!$D$4:$I$155,MATCH("Valeur en euros",'D_Ch4-3'!$D$4:$I$4,0),FALSE))/1000</f>
        <v>311289.44699999999</v>
      </c>
      <c r="Q89" s="1272"/>
      <c r="R89" s="1273"/>
      <c r="S89" s="498">
        <f>(VLOOKUP((CONCATENATE($N$60,-3)),'D_Ch4-3'!$D$4:$I$155,MATCH("Part ",'D_Ch4-3'!$D$4:$I$4,0),FALSE))</f>
        <v>9.9821746209160268E-3</v>
      </c>
    </row>
    <row r="90" spans="1:21" ht="27.75" customHeight="1">
      <c r="A90" s="1267" t="str">
        <f>VLOOKUP((CONCATENATE($H$60,-4)),'D_Ch4-3'!$D$4:$I$155,MATCH("Lib_CPF4",'D_Ch4-3'!$D$4:$I$4,0),FALSE)</f>
        <v>Ordinateurs et équipements périphériques</v>
      </c>
      <c r="B90" s="1268"/>
      <c r="C90" s="1268"/>
      <c r="D90" s="1268"/>
      <c r="E90" s="1269"/>
      <c r="F90" s="1271">
        <f>(VLOOKUP((CONCATENATE($H$60,-4)),'D_Ch4-3'!$D$4:$I$155,MATCH("Valeur en euros",'D_Ch4-3'!$D$4:$I$4,0),FALSE))/1000</f>
        <v>336012.21899999998</v>
      </c>
      <c r="G90" s="1272"/>
      <c r="H90" s="1273"/>
      <c r="I90" s="495">
        <f>(VLOOKUP((CONCATENATE($H$60,-4)),'D_Ch4-3'!$D$4:$I$155,MATCH("Part ",'D_Ch4-3'!$D$4:$I$4,0),FALSE))</f>
        <v>4.4965497303561149E-2</v>
      </c>
      <c r="J90" s="403"/>
      <c r="K90" s="1267" t="str">
        <f>VLOOKUP((CONCATENATE($N$60,-4)),'D_Ch4-3'!$D$4:$I$155,MATCH("Lib_CPF4",'D_Ch4-3'!$D$4:$I$4,0),FALSE)</f>
        <v>Produits à base de tabac</v>
      </c>
      <c r="L90" s="1268"/>
      <c r="M90" s="1268"/>
      <c r="N90" s="1268"/>
      <c r="O90" s="1269"/>
      <c r="P90" s="1271">
        <f>(VLOOKUP((CONCATENATE($N$60,-4)),'D_Ch4-3'!$D$4:$I$155,MATCH("Valeur en euros",'D_Ch4-3'!$D$4:$I$4,0),FALSE))/1000</f>
        <v>217179.25</v>
      </c>
      <c r="Q90" s="1272"/>
      <c r="R90" s="1273"/>
      <c r="S90" s="498">
        <f>(VLOOKUP((CONCATENATE($N$60,-4)),'D_Ch4-3'!$D$4:$I$155,MATCH("Part ",'D_Ch4-3'!$D$4:$I$4,0),FALSE))</f>
        <v>6.9643260265728731E-3</v>
      </c>
    </row>
    <row r="91" spans="1:21" ht="25.5" customHeight="1">
      <c r="A91" s="1260" t="str">
        <f>VLOOKUP((CONCATENATE($H$60,-5)),'D_Ch4-3'!$D$4:$I$155,MATCH("Lib_CPF4",'D_Ch4-3'!$D$4:$I$4,0),FALSE)</f>
        <v>Vins de raisin</v>
      </c>
      <c r="B91" s="1261"/>
      <c r="C91" s="1261"/>
      <c r="D91" s="1261"/>
      <c r="E91" s="1262"/>
      <c r="F91" s="1271">
        <f>(VLOOKUP((CONCATENATE($H$60,-5)),'D_Ch4-3'!$D$4:$I$155,MATCH("Valeur en euros",'D_Ch4-3'!$D$4:$I$4,0),FALSE))/1000</f>
        <v>278810.23499999999</v>
      </c>
      <c r="G91" s="1272"/>
      <c r="H91" s="1273"/>
      <c r="I91" s="495">
        <f>(VLOOKUP((CONCATENATE($H$60,-5)),'D_Ch4-3'!$D$4:$I$155,MATCH("Part ",'D_Ch4-3'!$D$4:$I$4,0),FALSE))</f>
        <v>3.7310669556626305E-2</v>
      </c>
      <c r="J91" s="403"/>
      <c r="K91" s="1260" t="str">
        <f>VLOOKUP((CONCATENATE($N$60,-5)),'D_Ch4-3'!$D$4:$I$155,MATCH("Lib_CPF4",'D_Ch4-3'!$D$4:$I$4,0),FALSE)</f>
        <v>Équipements de communication</v>
      </c>
      <c r="L91" s="1261"/>
      <c r="M91" s="1261"/>
      <c r="N91" s="1261"/>
      <c r="O91" s="1262"/>
      <c r="P91" s="1271">
        <f>(VLOOKUP((CONCATENATE($N$60,-5)),'D_Ch4-3'!$D$4:$I$155,MATCH("Valeur en euros",'D_Ch4-3'!$D$4:$I$4,0),FALSE))/1000</f>
        <v>214152.413</v>
      </c>
      <c r="Q91" s="1272"/>
      <c r="R91" s="1273"/>
      <c r="S91" s="498">
        <f>(VLOOKUP((CONCATENATE($N$60,-5)),'D_Ch4-3'!$D$4:$I$155,MATCH("Part ",'D_Ch4-3'!$D$4:$I$4,0),FALSE))</f>
        <v>6.8672639007146532E-3</v>
      </c>
    </row>
    <row r="92" spans="1:21" ht="13.5" customHeight="1">
      <c r="A92" s="403"/>
      <c r="B92" s="403"/>
      <c r="C92" s="403"/>
      <c r="D92" s="403"/>
      <c r="E92" s="403"/>
      <c r="F92" s="403"/>
      <c r="G92" s="403"/>
      <c r="H92" s="403"/>
      <c r="I92" s="403"/>
      <c r="J92" s="403"/>
      <c r="K92" s="403"/>
      <c r="L92" s="403"/>
      <c r="M92" s="403"/>
      <c r="N92" s="403"/>
      <c r="O92" s="403"/>
      <c r="P92" s="403"/>
      <c r="Q92" s="403"/>
      <c r="R92" s="403"/>
      <c r="S92" s="403"/>
    </row>
    <row r="93" spans="1:21" ht="21" customHeight="1">
      <c r="A93" s="1279" t="s">
        <v>975</v>
      </c>
      <c r="B93" s="1280"/>
      <c r="C93" s="1280"/>
      <c r="D93" s="1280"/>
      <c r="E93" s="1281"/>
      <c r="F93" s="1279" t="s">
        <v>1483</v>
      </c>
      <c r="G93" s="1280"/>
      <c r="H93" s="1281"/>
      <c r="I93" s="493" t="s">
        <v>807</v>
      </c>
      <c r="K93" s="1276" t="s">
        <v>975</v>
      </c>
      <c r="L93" s="1277"/>
      <c r="M93" s="1277"/>
      <c r="N93" s="1277"/>
      <c r="O93" s="1278"/>
      <c r="P93" s="1276" t="s">
        <v>1483</v>
      </c>
      <c r="Q93" s="1277"/>
      <c r="R93" s="1278"/>
      <c r="S93" s="496" t="s">
        <v>807</v>
      </c>
    </row>
    <row r="94" spans="1:21">
      <c r="A94" s="1260" t="str">
        <f>VLOOKUP((CONCATENATE($H$60,1)),'D_Ch4-3'!$C$160:$G$205,MATCH("Lib_pays",'D_Ch4-3'!$C$160:$G$160,0),FALSE)</f>
        <v>Etats-Unis</v>
      </c>
      <c r="B94" s="1261"/>
      <c r="C94" s="1261"/>
      <c r="D94" s="1261"/>
      <c r="E94" s="1262"/>
      <c r="F94" s="1263">
        <f>(VLOOKUP((CONCATENATE($H$60,1)),'D_Ch4-3'!$C$160:$G$213,MATCH("Pays_Valeur",'D_Ch4-3'!$C$160:$G$160,0),FALSE))/1000</f>
        <v>2658063.5240000002</v>
      </c>
      <c r="G94" s="1264"/>
      <c r="H94" s="1265"/>
      <c r="I94" s="499">
        <f>(VLOOKUP((CONCATENATE($H$60,1)),'D_Ch4-3'!$C$160:$G$213,MATCH("Pays_Part",'D_Ch4-3'!$C$160:$G$160,0),FALSE))</f>
        <v>0.18363375259751152</v>
      </c>
      <c r="K94" s="1260" t="str">
        <f>VLOOKUP((CONCATENATE($N$60,1)),'D_Ch4-3'!$C$160:$G$205,MATCH("Lib_pays",'D_Ch4-3'!$C$160:$G$160,0),FALSE)</f>
        <v>Allemagne</v>
      </c>
      <c r="L94" s="1261"/>
      <c r="M94" s="1261"/>
      <c r="N94" s="1261"/>
      <c r="O94" s="1262"/>
      <c r="P94" s="1263">
        <f>(VLOOKUP((CONCATENATE($N$60,1)),'D_Ch4-3'!$C$160:$G$213,MATCH("Pays_Valeur",'D_Ch4-3'!$C$160:$G$160,0),FALSE))/1000</f>
        <v>18236481.208999999</v>
      </c>
      <c r="Q94" s="1264"/>
      <c r="R94" s="1265"/>
      <c r="S94" s="499">
        <f>(VLOOKUP((CONCATENATE($N$60,1)),'D_Ch4-3'!$C$160:$G$213,MATCH("Pays_Part",'D_Ch4-3'!$C$160:$G$160,0),FALSE))</f>
        <v>0.25179310494380491</v>
      </c>
    </row>
    <row r="95" spans="1:21" ht="15" customHeight="1">
      <c r="A95" s="1260" t="str">
        <f>VLOOKUP((CONCATENATE($H$60,2)),'D_Ch4-3'!$C$160:$G$205,MATCH("Lib_pays",'D_Ch4-3'!$C$160:$G$160,0),FALSE)</f>
        <v>Allemagne</v>
      </c>
      <c r="B95" s="1261"/>
      <c r="C95" s="1261"/>
      <c r="D95" s="1261"/>
      <c r="E95" s="1262"/>
      <c r="F95" s="1271">
        <f>(VLOOKUP((CONCATENATE($H$60,2)),'D_Ch4-3'!$C$160:$G$213,MATCH("Pays_Valeur",'D_Ch4-3'!$C$160:$G$160,0),FALSE))/1000</f>
        <v>1545330.8489999999</v>
      </c>
      <c r="G95" s="1272"/>
      <c r="H95" s="1273"/>
      <c r="I95" s="500">
        <f>(VLOOKUP((CONCATENATE($H$60,2)),'D_Ch4-3'!$C$160:$G$213,MATCH("Pays_Part",'D_Ch4-3'!$C$160:$G$160,0),FALSE))</f>
        <v>0.10676001541886719</v>
      </c>
      <c r="K95" s="1282" t="str">
        <f>VLOOKUP((CONCATENATE($N$60,2)),'D_Ch4-3'!$C$160:$G$205,MATCH("Lib_pays",'D_Ch4-3'!$C$160:$G$160,0),FALSE)</f>
        <v>Royaume-Uni</v>
      </c>
      <c r="L95" s="1283"/>
      <c r="M95" s="1283"/>
      <c r="N95" s="1283"/>
      <c r="O95" s="1284"/>
      <c r="P95" s="1271">
        <f>(VLOOKUP((CONCATENATE($N$60,2)),'D_Ch4-3'!$C$160:$G$213,MATCH("Pays_Valeur",'D_Ch4-3'!$C$160:$G$160,0),FALSE))/1000</f>
        <v>9249019.7850000001</v>
      </c>
      <c r="Q95" s="1272"/>
      <c r="R95" s="1273"/>
      <c r="S95" s="500">
        <f>(VLOOKUP((CONCATENATE($N$60,2)),'D_Ch4-3'!$C$160:$G$213,MATCH("Pays_Part",'D_Ch4-3'!$C$160:$G$160,0),FALSE))</f>
        <v>0.12770223502341629</v>
      </c>
    </row>
    <row r="96" spans="1:21" ht="15" customHeight="1">
      <c r="A96" s="1260" t="str">
        <f>VLOOKUP((CONCATENATE($H$60,3)),'D_Ch4-3'!$C$160:$G$205,MATCH("Lib_pays",'D_Ch4-3'!$C$160:$G$160,0),FALSE)</f>
        <v>Espagne</v>
      </c>
      <c r="B96" s="1261"/>
      <c r="C96" s="1261"/>
      <c r="D96" s="1261"/>
      <c r="E96" s="1262"/>
      <c r="F96" s="1285">
        <f>(VLOOKUP((CONCATENATE($H$60,3)),'D_Ch4-3'!$C$160:$G$213,MATCH("Pays_Valeur",'D_Ch4-3'!$C$160:$G$160,0),FALSE))/1000</f>
        <v>1384654.2660000001</v>
      </c>
      <c r="G96" s="1286"/>
      <c r="H96" s="1287"/>
      <c r="I96" s="984">
        <f>(VLOOKUP((CONCATENATE($H$60,3)),'D_Ch4-3'!$C$160:$G$213,MATCH("Pays_Part",'D_Ch4-3'!$C$160:$G$160,0),FALSE))</f>
        <v>9.5659586996286142E-2</v>
      </c>
      <c r="K96" s="1267" t="str">
        <f>VLOOKUP((CONCATENATE($N$60,3)),'D_Ch4-3'!$C$160:$G$205,MATCH("Lib_pays",'D_Ch4-3'!$C$160:$G$160,0),FALSE)</f>
        <v>Etats-Unis</v>
      </c>
      <c r="L96" s="1268"/>
      <c r="M96" s="1268"/>
      <c r="N96" s="1268"/>
      <c r="O96" s="1269"/>
      <c r="P96" s="1285">
        <f>(VLOOKUP((CONCATENATE($N$60,3)),'D_Ch4-3'!$C$160:$G$213,MATCH("Pays_Valeur",'D_Ch4-3'!$C$160:$G$160,0),FALSE))/1000</f>
        <v>7401506.4409999996</v>
      </c>
      <c r="Q96" s="1286"/>
      <c r="R96" s="1287"/>
      <c r="S96" s="984">
        <f>(VLOOKUP((CONCATENATE($N$60,3)),'D_Ch4-3'!$C$160:$G$213,MATCH("Pays_Part",'D_Ch4-3'!$C$160:$G$160,0),FALSE))</f>
        <v>0.10219341476475298</v>
      </c>
    </row>
    <row r="97" spans="1:21" s="198" customFormat="1" ht="15" customHeight="1">
      <c r="A97" s="324"/>
      <c r="B97" s="427"/>
      <c r="C97" s="428"/>
      <c r="D97" s="428"/>
      <c r="E97" s="428"/>
      <c r="F97" s="1105" t="s">
        <v>1039</v>
      </c>
      <c r="G97" s="1105"/>
      <c r="H97" s="1105"/>
      <c r="I97" s="1105"/>
      <c r="J97" s="1105"/>
      <c r="K97" s="1105"/>
      <c r="L97" s="1105"/>
      <c r="M97" s="1105"/>
      <c r="N97" s="1105"/>
      <c r="O97" s="1105"/>
      <c r="P97" s="1105"/>
      <c r="Q97" s="1105"/>
      <c r="R97" s="1105"/>
      <c r="S97" s="1105"/>
      <c r="T97" s="1105"/>
      <c r="U97" s="593"/>
    </row>
    <row r="98" spans="1:21" s="198" customFormat="1" ht="12.75" customHeight="1">
      <c r="A98" s="429"/>
      <c r="B98" s="428"/>
      <c r="C98" s="428"/>
      <c r="D98" s="428"/>
      <c r="E98" s="428"/>
      <c r="F98" s="1105"/>
      <c r="G98" s="1105"/>
      <c r="H98" s="1105"/>
      <c r="I98" s="1105"/>
      <c r="J98" s="1105"/>
      <c r="K98" s="1105"/>
      <c r="L98" s="1105"/>
      <c r="M98" s="1105"/>
      <c r="N98" s="1105"/>
      <c r="O98" s="1105"/>
      <c r="P98" s="1105"/>
      <c r="Q98" s="1105"/>
      <c r="R98" s="1105"/>
      <c r="S98" s="1105"/>
      <c r="T98" s="1105"/>
      <c r="U98" s="593"/>
    </row>
    <row r="99" spans="1:21" s="198" customFormat="1" ht="15" customHeight="1">
      <c r="A99" s="430"/>
      <c r="B99" s="428"/>
      <c r="C99" s="428"/>
      <c r="D99" s="428"/>
      <c r="E99" s="428"/>
      <c r="F99" s="1105"/>
      <c r="G99" s="1105"/>
      <c r="H99" s="1105"/>
      <c r="I99" s="1105"/>
      <c r="J99" s="1105"/>
      <c r="K99" s="1105"/>
      <c r="L99" s="1105"/>
      <c r="M99" s="1105"/>
      <c r="N99" s="1105"/>
      <c r="O99" s="1105"/>
      <c r="P99" s="1105"/>
      <c r="Q99" s="1105"/>
      <c r="R99" s="1105"/>
      <c r="S99" s="1105"/>
      <c r="T99" s="1105"/>
      <c r="U99" s="593"/>
    </row>
    <row r="100" spans="1:21" ht="12.75" customHeight="1">
      <c r="A100"/>
      <c r="B100"/>
      <c r="C100"/>
      <c r="D100"/>
      <c r="E100"/>
      <c r="F100" s="1105"/>
      <c r="G100" s="1105"/>
      <c r="H100" s="1105"/>
      <c r="I100" s="1105"/>
      <c r="J100" s="1105"/>
      <c r="K100" s="1105"/>
      <c r="L100" s="1105"/>
      <c r="M100" s="1105"/>
      <c r="N100" s="1105"/>
      <c r="O100" s="1105"/>
      <c r="P100" s="1105"/>
      <c r="Q100" s="1105"/>
      <c r="R100" s="1105"/>
      <c r="S100" s="1105"/>
      <c r="T100" s="1105"/>
      <c r="U100" s="163"/>
    </row>
    <row r="101" spans="1:21" ht="5.25" customHeight="1">
      <c r="A101"/>
      <c r="B101"/>
      <c r="C101"/>
      <c r="D101"/>
      <c r="E101"/>
      <c r="F101"/>
      <c r="G101"/>
      <c r="H101"/>
      <c r="I101"/>
      <c r="J101"/>
      <c r="K101"/>
      <c r="L101"/>
      <c r="M101"/>
      <c r="N101"/>
      <c r="O101"/>
      <c r="P101"/>
      <c r="Q101"/>
      <c r="R101"/>
      <c r="S101"/>
      <c r="T101"/>
      <c r="U101" s="163"/>
    </row>
    <row r="102" spans="1:21" s="198" customFormat="1" ht="15" customHeight="1">
      <c r="A102" s="1102" t="s">
        <v>738</v>
      </c>
      <c r="B102" s="1102"/>
      <c r="C102" s="1102"/>
      <c r="D102" s="1102"/>
      <c r="E102" s="1102"/>
      <c r="F102" s="1102"/>
      <c r="G102" s="1102"/>
      <c r="H102" s="1102"/>
      <c r="I102" s="1102"/>
      <c r="J102" s="1102"/>
      <c r="K102" s="1102"/>
      <c r="L102" s="1102"/>
      <c r="M102" s="1102"/>
      <c r="N102" s="1102"/>
      <c r="O102" s="1102"/>
      <c r="P102" s="1102"/>
      <c r="Q102" s="1102"/>
      <c r="R102" s="1102"/>
      <c r="S102" s="1102"/>
      <c r="T102" s="1102"/>
      <c r="U102" s="784"/>
    </row>
    <row r="103" spans="1:21" s="198" customFormat="1" ht="15" customHeight="1">
      <c r="A103" s="1102"/>
      <c r="B103" s="1102"/>
      <c r="C103" s="1102"/>
      <c r="D103" s="1102"/>
      <c r="E103" s="1102"/>
      <c r="F103" s="1102"/>
      <c r="G103" s="1102"/>
      <c r="H103" s="1102"/>
      <c r="I103" s="1102"/>
      <c r="J103" s="1102"/>
      <c r="K103" s="1102"/>
      <c r="L103" s="1102"/>
      <c r="M103" s="1102"/>
      <c r="N103" s="1102"/>
      <c r="O103" s="1102"/>
      <c r="P103" s="1102"/>
      <c r="Q103" s="1102"/>
      <c r="R103" s="1102"/>
      <c r="S103" s="1102"/>
      <c r="T103" s="1102"/>
      <c r="U103" s="784"/>
    </row>
    <row r="104" spans="1:21" ht="8.25" customHeight="1"/>
    <row r="105" spans="1:21">
      <c r="A105" s="861" t="s">
        <v>1166</v>
      </c>
      <c r="B105" s="852"/>
      <c r="C105" s="852"/>
      <c r="D105" s="852"/>
      <c r="E105" s="852"/>
      <c r="F105" s="852"/>
      <c r="G105" s="413"/>
    </row>
    <row r="106" spans="1:21" ht="6" customHeight="1"/>
    <row r="107" spans="1:21">
      <c r="A107" s="845" t="s">
        <v>1765</v>
      </c>
      <c r="B107" s="845"/>
      <c r="C107" s="845"/>
      <c r="D107" s="845"/>
      <c r="E107" s="845"/>
      <c r="F107" s="845"/>
      <c r="G107" s="845"/>
      <c r="H107" s="845"/>
      <c r="I107" s="845"/>
      <c r="J107" s="845"/>
      <c r="K107" s="845"/>
      <c r="Q107" s="464"/>
      <c r="R107" s="464"/>
    </row>
    <row r="108" spans="1:21"/>
    <row r="109" spans="1:21"/>
    <row r="110" spans="1:21"/>
    <row r="111" spans="1:21"/>
    <row r="112" spans="1:21"/>
    <row r="113" spans="1:20"/>
    <row r="114" spans="1:20"/>
    <row r="115" spans="1:20"/>
    <row r="116" spans="1:20"/>
    <row r="117" spans="1:20"/>
    <row r="118" spans="1:20"/>
    <row r="119" spans="1:20"/>
    <row r="120" spans="1:20"/>
    <row r="121" spans="1:20"/>
    <row r="122" spans="1:20" ht="15.75" thickBot="1">
      <c r="A122" s="460" t="s">
        <v>1175</v>
      </c>
    </row>
    <row r="123" spans="1:20" ht="16.5" thickTop="1" thickBot="1">
      <c r="A123" s="1011" t="s">
        <v>1077</v>
      </c>
      <c r="B123" s="1012"/>
      <c r="C123" s="1013"/>
      <c r="I123" s="464"/>
      <c r="J123" s="464"/>
      <c r="K123" s="464"/>
    </row>
    <row r="124" spans="1:20" ht="9" customHeight="1" thickTop="1"/>
    <row r="125" spans="1:20" s="216" customFormat="1" ht="28.5" customHeight="1" thickBot="1">
      <c r="A125" s="1302"/>
      <c r="B125" s="1302"/>
      <c r="C125" s="1302"/>
      <c r="D125" s="1302"/>
      <c r="E125" s="1302"/>
      <c r="F125" s="1052" t="s">
        <v>2038</v>
      </c>
      <c r="G125" s="1053"/>
      <c r="H125" s="1054"/>
      <c r="I125" s="1052" t="s">
        <v>2039</v>
      </c>
      <c r="J125" s="1053"/>
      <c r="K125" s="1054"/>
      <c r="L125" s="1052" t="s">
        <v>2040</v>
      </c>
      <c r="M125" s="1053"/>
      <c r="N125" s="1054"/>
      <c r="O125" s="1052" t="s">
        <v>2039</v>
      </c>
      <c r="P125" s="1053"/>
      <c r="Q125" s="1054"/>
      <c r="R125" s="403"/>
      <c r="S125" s="403"/>
      <c r="T125" s="403"/>
    </row>
    <row r="126" spans="1:20" s="198" customFormat="1" ht="14.25" thickTop="1" thickBot="1">
      <c r="A126" s="1293" t="s">
        <v>1085</v>
      </c>
      <c r="B126" s="1294"/>
      <c r="C126" s="1294"/>
      <c r="D126" s="1294"/>
      <c r="E126" s="1295"/>
      <c r="F126" s="1197">
        <f>VLOOKUP($A$126,'D_Ch4-2'!$A$6:$L$18,MATCH("Nb Passagers",'D_Ch4-2'!$A$6:$N$6,0),FALSE)</f>
        <v>6223414</v>
      </c>
      <c r="G126" s="1197">
        <f>VLOOKUP($N$60,'D_Ch4-3'!$K$4:$N$18,MATCH("balance commerciale N-1",'D_Ch4-3'!$K$4:$N$4,0),FALSE)</f>
        <v>10057.387298</v>
      </c>
      <c r="H126" s="1198">
        <f>VLOOKUP($N$60,'D_Ch4-3'!$K$4:$N$18,MATCH("balance commerciale N-1",'D_Ch4-3'!$K$4:$N$4,0),FALSE)</f>
        <v>10057.387298</v>
      </c>
      <c r="I126" s="1299">
        <f>VLOOKUP($A$126,'D_Ch4-2'!$A$6:$L$18,MATCH("LR evolution",'D_Ch4-2'!$A$6:$N$6,0),FALSE)</f>
        <v>7.6795518835401047E-2</v>
      </c>
      <c r="J126" s="1300">
        <f>VLOOKUP($N$60,'D_Ch4-3'!$K$4:$N$18,MATCH("balance commerciale N-1",'D_Ch4-3'!$K$4:$N$4,0),FALSE)</f>
        <v>10057.387298</v>
      </c>
      <c r="K126" s="1301">
        <f>VLOOKUP($N$60,'D_Ch4-3'!$K$4:$N$18,MATCH("balance commerciale N-1",'D_Ch4-3'!$K$4:$N$4,0),FALSE)</f>
        <v>10057.387298</v>
      </c>
      <c r="L126" s="1196">
        <f>VLOOKUP($A$126,'D_Ch4-2'!$A$6:$L$18,MATCH("low cost",'D_Ch4-2'!$A$6:$N$6,0),FALSE)</f>
        <v>3058389</v>
      </c>
      <c r="M126" s="1197">
        <f>VLOOKUP($N$60,'D_Ch4-3'!$K$4:$N$18,MATCH("balance commerciale N-1",'D_Ch4-3'!$K$4:$N$4,0),FALSE)</f>
        <v>10057.387298</v>
      </c>
      <c r="N126" s="1198">
        <f>VLOOKUP($N$60,'D_Ch4-3'!$K$4:$N$18,MATCH("balance commerciale N-1",'D_Ch4-3'!$K$4:$N$4,0),FALSE)</f>
        <v>10057.387298</v>
      </c>
      <c r="O126" s="1299">
        <f>VLOOKUP($A$126,'D_Ch4-2'!$A$6:$L$18,MATCH("LC evolution",'D_Ch4-2'!$A$6:$N$6,0),FALSE)</f>
        <v>0.19400000000000001</v>
      </c>
      <c r="P126" s="1300">
        <f>VLOOKUP($N$60,'D_Ch4-3'!$K$4:$N$18,MATCH("balance commerciale N-1",'D_Ch4-3'!$K$4:$N$4,0),FALSE)</f>
        <v>10057.387298</v>
      </c>
      <c r="Q126" s="1301">
        <f>VLOOKUP($N$60,'D_Ch4-3'!$K$4:$N$18,MATCH("balance commerciale N-1",'D_Ch4-3'!$K$4:$N$4,0),FALSE)</f>
        <v>10057.387298</v>
      </c>
      <c r="R126" s="327"/>
      <c r="S126" s="327"/>
      <c r="T126" s="327"/>
    </row>
    <row r="127" spans="1:20" s="198" customFormat="1" ht="14.25" thickTop="1" thickBot="1">
      <c r="A127" s="1296" t="s">
        <v>1084</v>
      </c>
      <c r="B127" s="1297"/>
      <c r="C127" s="1297"/>
      <c r="D127" s="1297"/>
      <c r="E127" s="1298"/>
      <c r="F127" s="1197">
        <f>VLOOKUP($A$127,'D_Ch4-2'!$A$6:$L$18,MATCH("Nb Passagers",'D_Ch4-2'!$A$6:$N$6,0),FALSE)</f>
        <v>9264611</v>
      </c>
      <c r="G127" s="1197">
        <f>VLOOKUP($N$60,'D_Ch4-3'!$K$4:$N$18,MATCH("balance commerciale N-1",'D_Ch4-3'!$K$4:$N$4,0),FALSE)</f>
        <v>10057.387298</v>
      </c>
      <c r="H127" s="1198">
        <f>VLOOKUP($N$60,'D_Ch4-3'!$K$4:$N$18,MATCH("balance commerciale N-1",'D_Ch4-3'!$K$4:$N$4,0),FALSE)</f>
        <v>10057.387298</v>
      </c>
      <c r="I127" s="1299">
        <f>VLOOKUP($A$127,'D_Ch4-2'!$A$6:$L$18,MATCH("LR evolution",'D_Ch4-2'!$A$6:$N$6,0),FALSE)</f>
        <v>0.14644298808379322</v>
      </c>
      <c r="J127" s="1300">
        <f>VLOOKUP($N$60,'D_Ch4-3'!$K$4:$N$18,MATCH("balance commerciale N-1",'D_Ch4-3'!$K$4:$N$4,0),FALSE)</f>
        <v>10057.387298</v>
      </c>
      <c r="K127" s="1301">
        <f>VLOOKUP($N$60,'D_Ch4-3'!$K$4:$N$18,MATCH("balance commerciale N-1",'D_Ch4-3'!$K$4:$N$4,0),FALSE)</f>
        <v>10057.387298</v>
      </c>
      <c r="L127" s="1196">
        <f>VLOOKUP($A$127,'D_Ch4-2'!$A$6:$L$18,MATCH("low cost",'D_Ch4-2'!$A$6:$N$6,0),FALSE)</f>
        <v>3799510</v>
      </c>
      <c r="M127" s="1197">
        <f>VLOOKUP($N$60,'D_Ch4-3'!$K$4:$N$18,MATCH("balance commerciale N-1",'D_Ch4-3'!$K$4:$N$4,0),FALSE)</f>
        <v>10057.387298</v>
      </c>
      <c r="N127" s="1198">
        <f>VLOOKUP($N$60,'D_Ch4-3'!$K$4:$N$18,MATCH("balance commerciale N-1",'D_Ch4-3'!$K$4:$N$4,0),FALSE)</f>
        <v>10057.387298</v>
      </c>
      <c r="O127" s="1299">
        <f>VLOOKUP($A$127,'D_Ch4-2'!$A$6:$L$18,MATCH("LC evolution",'D_Ch4-2'!$A$6:$N$6,0),FALSE)</f>
        <v>0.46100000000000002</v>
      </c>
      <c r="P127" s="1300">
        <f>VLOOKUP($N$60,'D_Ch4-3'!$K$4:$N$18,MATCH("balance commerciale N-1",'D_Ch4-3'!$K$4:$N$4,0),FALSE)</f>
        <v>10057.387298</v>
      </c>
      <c r="Q127" s="1301">
        <f>VLOOKUP($N$60,'D_Ch4-3'!$K$4:$N$18,MATCH("balance commerciale N-1",'D_Ch4-3'!$K$4:$N$4,0),FALSE)</f>
        <v>10057.387298</v>
      </c>
      <c r="R127" s="327"/>
      <c r="S127" s="327"/>
      <c r="T127" s="327"/>
    </row>
    <row r="128" spans="1:20" s="234" customFormat="1" ht="13.5" customHeight="1" thickTop="1">
      <c r="A128" s="325"/>
      <c r="B128" s="325"/>
      <c r="C128" s="325"/>
      <c r="D128" s="325"/>
      <c r="E128" s="325"/>
      <c r="F128" s="325"/>
      <c r="G128" s="325"/>
      <c r="H128" s="325"/>
      <c r="I128" s="325"/>
      <c r="J128" s="325"/>
      <c r="K128" s="325"/>
      <c r="L128" s="325"/>
      <c r="M128" s="325"/>
      <c r="N128" s="325"/>
      <c r="O128" s="325"/>
      <c r="P128" s="325"/>
      <c r="Q128" s="325"/>
      <c r="R128" s="325"/>
      <c r="S128" s="325"/>
      <c r="T128" s="325"/>
    </row>
    <row r="129" spans="1:20" s="234" customFormat="1">
      <c r="A129" s="861" t="s">
        <v>1761</v>
      </c>
      <c r="B129" s="852"/>
      <c r="C129" s="852"/>
      <c r="D129" s="852"/>
      <c r="E129" s="852"/>
      <c r="F129" s="413"/>
      <c r="G129" s="325"/>
      <c r="H129" s="325"/>
      <c r="I129" s="325"/>
      <c r="J129" s="325"/>
      <c r="K129" s="325"/>
      <c r="L129" s="325"/>
      <c r="M129" s="325"/>
      <c r="N129" s="325"/>
      <c r="O129" s="325"/>
      <c r="P129" s="325"/>
      <c r="Q129" s="325"/>
      <c r="R129" s="325"/>
      <c r="S129" s="325"/>
      <c r="T129" s="325"/>
    </row>
    <row r="130" spans="1:20" ht="25.5" customHeight="1" thickBot="1">
      <c r="F130" s="501"/>
      <c r="G130" s="501"/>
      <c r="H130" s="501"/>
      <c r="I130" s="501"/>
      <c r="J130" s="501"/>
      <c r="K130" s="1052" t="s">
        <v>1762</v>
      </c>
      <c r="L130" s="1053"/>
      <c r="M130" s="1054"/>
      <c r="N130" s="1052" t="s">
        <v>1341</v>
      </c>
      <c r="O130" s="1053"/>
      <c r="P130" s="1054"/>
    </row>
    <row r="131" spans="1:20" ht="16.5" thickTop="1" thickBot="1">
      <c r="G131" s="1293" t="s">
        <v>2</v>
      </c>
      <c r="H131" s="1294"/>
      <c r="I131" s="1294"/>
      <c r="J131" s="1295"/>
      <c r="K131" s="1288">
        <f>VLOOKUP($G$131,'D_Ch4-2'!$A$49:$D$61,MATCH("trafic N-1",'D_Ch4-2'!$A$49:$D$49,0),FALSE)</f>
        <v>8385070</v>
      </c>
      <c r="L131" s="1288">
        <f>VLOOKUP($N$60,'D_Ch4-3'!$K$4:$N$18,MATCH("balance commerciale N-1",'D_Ch4-3'!$K$4:$N$4,0),FALSE)</f>
        <v>10057.387298</v>
      </c>
      <c r="M131" s="1289">
        <f>VLOOKUP($N$60,'D_Ch4-3'!$K$4:$N$18,MATCH("balance commerciale N-1",'D_Ch4-3'!$K$4:$N$4,0),FALSE)</f>
        <v>10057.387298</v>
      </c>
      <c r="N131" s="1290">
        <f>VLOOKUP($G$131,'D_Ch4-2'!$A$49:$D$61,MATCH("Port Evolution",'D_Ch4-2'!$A$49:$D$49,0),FALSE)</f>
        <v>-1.6758931471542532E-2</v>
      </c>
      <c r="O131" s="1291">
        <f>VLOOKUP($N$60,'D_Ch4-3'!$K$4:$N$18,MATCH("balance commerciale N-1",'D_Ch4-3'!$K$4:$N$4,0),FALSE)</f>
        <v>10057.387298</v>
      </c>
      <c r="P131" s="1292">
        <f>VLOOKUP($N$60,'D_Ch4-3'!$K$4:$N$18,MATCH("balance commerciale N-1",'D_Ch4-3'!$K$4:$N$4,0),FALSE)</f>
        <v>10057.387298</v>
      </c>
      <c r="Q131" s="502"/>
      <c r="R131" s="661"/>
      <c r="S131" s="464"/>
    </row>
    <row r="132" spans="1:20" ht="16.5" thickTop="1" thickBot="1">
      <c r="G132" s="1296" t="s">
        <v>338</v>
      </c>
      <c r="H132" s="1297"/>
      <c r="I132" s="1297"/>
      <c r="J132" s="1298"/>
      <c r="K132" s="1288">
        <f>VLOOKUP($G$132,'D_Ch4-2'!$A$49:$D$61,MATCH("trafic N-1",'D_Ch4-2'!$A$49:$D$49,0),FALSE)</f>
        <v>3296800</v>
      </c>
      <c r="L132" s="1288">
        <f>VLOOKUP($N$60,'D_Ch4-3'!$K$4:$N$18,MATCH("balance commerciale N-1",'D_Ch4-3'!$K$4:$N$4,0),FALSE)</f>
        <v>10057.387298</v>
      </c>
      <c r="M132" s="1289">
        <f>VLOOKUP($N$60,'D_Ch4-3'!$K$4:$N$18,MATCH("balance commerciale N-1",'D_Ch4-3'!$K$4:$N$4,0),FALSE)</f>
        <v>10057.387298</v>
      </c>
      <c r="N132" s="1290">
        <f>VLOOKUP($G$132,'D_Ch4-2'!$A$49:$D$61,MATCH("Port Evolution",'D_Ch4-2'!$A$49:$D$49,0),FALSE)</f>
        <v>5.5656349404063929E-2</v>
      </c>
      <c r="O132" s="1291">
        <f>VLOOKUP($N$60,'D_Ch4-3'!$K$4:$N$18,MATCH("balance commerciale N-1",'D_Ch4-3'!$K$4:$N$4,0),FALSE)</f>
        <v>10057.387298</v>
      </c>
      <c r="P132" s="1292">
        <f>VLOOKUP($N$60,'D_Ch4-3'!$K$4:$N$18,MATCH("balance commerciale N-1",'D_Ch4-3'!$K$4:$N$4,0),FALSE)</f>
        <v>10057.387298</v>
      </c>
      <c r="Q132" s="455"/>
      <c r="R132" s="455"/>
    </row>
    <row r="133" spans="1:20" ht="15.75" thickTop="1">
      <c r="A133" s="885" t="s">
        <v>1740</v>
      </c>
      <c r="B133" s="885"/>
      <c r="C133" s="886"/>
      <c r="D133" s="886"/>
      <c r="E133" s="886"/>
      <c r="M133" s="503"/>
      <c r="N133" s="503"/>
      <c r="O133" s="503"/>
      <c r="P133" s="455"/>
      <c r="Q133" s="455"/>
      <c r="R133" s="455"/>
    </row>
    <row r="134" spans="1:20"/>
    <row r="135" spans="1:20"/>
    <row r="136" spans="1:20"/>
    <row r="137" spans="1:20"/>
    <row r="138" spans="1:20"/>
    <row r="139" spans="1:20"/>
    <row r="140" spans="1:20"/>
    <row r="141" spans="1:20"/>
    <row r="142" spans="1:20"/>
    <row r="143" spans="1:20"/>
    <row r="144" spans="1:20"/>
    <row r="145" spans="1:20"/>
    <row r="146" spans="1:20"/>
    <row r="147" spans="1:20"/>
    <row r="148" spans="1:20"/>
    <row r="149" spans="1:20"/>
    <row r="150" spans="1:20" ht="15" customHeight="1">
      <c r="A150" s="324"/>
      <c r="B150" s="427"/>
      <c r="C150" s="428"/>
      <c r="D150" s="428"/>
      <c r="E150" s="428"/>
      <c r="F150" s="1105" t="s">
        <v>1039</v>
      </c>
      <c r="G150" s="1105"/>
      <c r="H150" s="1105"/>
      <c r="I150" s="1105"/>
      <c r="J150" s="1105"/>
      <c r="K150" s="1105"/>
      <c r="L150" s="1105"/>
      <c r="M150" s="1105"/>
      <c r="N150" s="1105"/>
      <c r="O150" s="1105"/>
      <c r="P150" s="1105"/>
      <c r="Q150" s="1105"/>
      <c r="R150" s="1105"/>
      <c r="S150" s="1105"/>
      <c r="T150" s="1105"/>
    </row>
    <row r="151" spans="1:20" ht="15" customHeight="1">
      <c r="A151" s="429"/>
      <c r="B151" s="428"/>
      <c r="C151" s="428"/>
      <c r="D151" s="428"/>
      <c r="E151" s="428"/>
      <c r="F151" s="1105"/>
      <c r="G151" s="1105"/>
      <c r="H151" s="1105"/>
      <c r="I151" s="1105"/>
      <c r="J151" s="1105"/>
      <c r="K151" s="1105"/>
      <c r="L151" s="1105"/>
      <c r="M151" s="1105"/>
      <c r="N151" s="1105"/>
      <c r="O151" s="1105"/>
      <c r="P151" s="1105"/>
      <c r="Q151" s="1105"/>
      <c r="R151" s="1105"/>
      <c r="S151" s="1105"/>
      <c r="T151" s="1105"/>
    </row>
    <row r="152" spans="1:20" ht="15" customHeight="1">
      <c r="A152" s="430"/>
      <c r="B152" s="428"/>
      <c r="C152" s="428"/>
      <c r="D152" s="428"/>
      <c r="E152" s="428"/>
      <c r="F152" s="1105"/>
      <c r="G152" s="1105"/>
      <c r="H152" s="1105"/>
      <c r="I152" s="1105"/>
      <c r="J152" s="1105"/>
      <c r="K152" s="1105"/>
      <c r="L152" s="1105"/>
      <c r="M152" s="1105"/>
      <c r="N152" s="1105"/>
      <c r="O152" s="1105"/>
      <c r="P152" s="1105"/>
      <c r="Q152" s="1105"/>
      <c r="R152" s="1105"/>
      <c r="S152" s="1105"/>
      <c r="T152" s="1105"/>
    </row>
    <row r="153" spans="1:20" ht="15" customHeight="1">
      <c r="A153" s="867"/>
      <c r="B153" s="867"/>
      <c r="C153" s="867"/>
      <c r="D153" s="867"/>
      <c r="E153" s="867"/>
      <c r="F153" s="1105"/>
      <c r="G153" s="1105"/>
      <c r="H153" s="1105"/>
      <c r="I153" s="1105"/>
      <c r="J153" s="1105"/>
      <c r="K153" s="1105"/>
      <c r="L153" s="1105"/>
      <c r="M153" s="1105"/>
      <c r="N153" s="1105"/>
      <c r="O153" s="1105"/>
      <c r="P153" s="1105"/>
      <c r="Q153" s="1105"/>
      <c r="R153" s="1105"/>
      <c r="S153" s="1105"/>
      <c r="T153" s="1105"/>
    </row>
    <row r="154" spans="1:20">
      <c r="A154" s="867"/>
      <c r="B154" s="867"/>
      <c r="C154" s="867"/>
      <c r="D154" s="867"/>
      <c r="E154" s="867"/>
      <c r="F154" s="867"/>
      <c r="G154" s="867"/>
      <c r="H154" s="867"/>
      <c r="I154" s="867"/>
      <c r="J154" s="867"/>
      <c r="K154" s="867"/>
      <c r="L154" s="867"/>
      <c r="M154" s="867"/>
      <c r="N154" s="867"/>
      <c r="O154" s="867"/>
      <c r="P154" s="867"/>
      <c r="Q154" s="867"/>
      <c r="R154" s="867"/>
      <c r="S154" s="867"/>
      <c r="T154" s="867"/>
    </row>
    <row r="155" spans="1:20" ht="15" customHeight="1">
      <c r="A155" s="1102" t="s">
        <v>738</v>
      </c>
      <c r="B155" s="1102"/>
      <c r="C155" s="1102"/>
      <c r="D155" s="1102"/>
      <c r="E155" s="1102"/>
      <c r="F155" s="1102"/>
      <c r="G155" s="1102"/>
      <c r="H155" s="1102"/>
      <c r="I155" s="1102"/>
      <c r="J155" s="1102"/>
      <c r="K155" s="1102"/>
      <c r="L155" s="1102"/>
      <c r="M155" s="1102"/>
      <c r="N155" s="1102"/>
      <c r="O155" s="1102"/>
      <c r="P155" s="1102"/>
      <c r="Q155" s="1102"/>
      <c r="R155" s="1102"/>
      <c r="S155" s="1102"/>
      <c r="T155" s="1102"/>
    </row>
    <row r="156" spans="1:20" ht="15" customHeight="1">
      <c r="A156" s="1102"/>
      <c r="B156" s="1102"/>
      <c r="C156" s="1102"/>
      <c r="D156" s="1102"/>
      <c r="E156" s="1102"/>
      <c r="F156" s="1102"/>
      <c r="G156" s="1102"/>
      <c r="H156" s="1102"/>
      <c r="I156" s="1102"/>
      <c r="J156" s="1102"/>
      <c r="K156" s="1102"/>
      <c r="L156" s="1102"/>
      <c r="M156" s="1102"/>
      <c r="N156" s="1102"/>
      <c r="O156" s="1102"/>
      <c r="P156" s="1102"/>
      <c r="Q156" s="1102"/>
      <c r="R156" s="1102"/>
      <c r="S156" s="1102"/>
      <c r="T156" s="1102"/>
    </row>
    <row r="157" spans="1:20" ht="15.75" customHeight="1"/>
    <row r="158" spans="1:20">
      <c r="A158" s="963" t="s">
        <v>1977</v>
      </c>
      <c r="B158" s="856"/>
      <c r="C158" s="856"/>
      <c r="D158" s="856"/>
      <c r="E158" s="856"/>
      <c r="F158" s="856"/>
      <c r="G158" s="837"/>
      <c r="H158" s="325"/>
      <c r="I158" s="325"/>
      <c r="J158" s="325"/>
      <c r="K158" s="325"/>
      <c r="L158" s="325"/>
      <c r="M158" s="325"/>
    </row>
    <row r="159" spans="1:20">
      <c r="A159" s="838"/>
      <c r="B159" s="838"/>
      <c r="C159" s="838"/>
      <c r="D159" s="838"/>
      <c r="E159" s="838"/>
      <c r="F159" s="838"/>
      <c r="G159" s="838"/>
      <c r="H159" s="838"/>
    </row>
    <row r="160" spans="1:20" ht="15.75" thickBot="1">
      <c r="A160" s="845" t="s">
        <v>1694</v>
      </c>
      <c r="B160" s="845"/>
      <c r="C160" s="845"/>
      <c r="D160" s="845"/>
      <c r="E160" s="845"/>
      <c r="F160" s="845"/>
      <c r="G160" s="845"/>
      <c r="H160" s="845"/>
      <c r="I160" s="845"/>
      <c r="J160" s="845"/>
    </row>
    <row r="161" spans="1:20" ht="16.5" thickTop="1" thickBot="1">
      <c r="A161" s="1011" t="s">
        <v>1077</v>
      </c>
      <c r="B161" s="1012"/>
      <c r="C161" s="1013"/>
    </row>
    <row r="162" spans="1:20" ht="15.75" thickTop="1">
      <c r="B162"/>
      <c r="C162"/>
      <c r="D162"/>
      <c r="E162"/>
      <c r="F162"/>
      <c r="G162"/>
      <c r="H162"/>
      <c r="I162"/>
      <c r="J162" s="1303" t="s">
        <v>1899</v>
      </c>
      <c r="K162" s="1304"/>
      <c r="L162" s="1304"/>
      <c r="M162" s="1305"/>
      <c r="N162" s="1303" t="s">
        <v>1900</v>
      </c>
      <c r="O162" s="1304"/>
      <c r="P162" s="1304"/>
      <c r="Q162" s="1305"/>
      <c r="R162"/>
      <c r="S162"/>
      <c r="T162"/>
    </row>
    <row r="163" spans="1:20" ht="15.75" thickBot="1">
      <c r="B163"/>
      <c r="C163"/>
      <c r="D163"/>
      <c r="E163" s="1302"/>
      <c r="F163" s="1302"/>
      <c r="G163" s="1302"/>
      <c r="H163" s="1302"/>
      <c r="I163" s="1302"/>
      <c r="J163" s="1306"/>
      <c r="K163" s="1307"/>
      <c r="L163" s="1307"/>
      <c r="M163" s="1308"/>
      <c r="N163" s="1306"/>
      <c r="O163" s="1307"/>
      <c r="P163" s="1307"/>
      <c r="Q163" s="1308"/>
      <c r="R163"/>
      <c r="S163"/>
      <c r="T163"/>
    </row>
    <row r="164" spans="1:20" ht="16.5" thickTop="1" thickBot="1">
      <c r="B164"/>
      <c r="C164"/>
      <c r="D164" s="1293" t="s">
        <v>1696</v>
      </c>
      <c r="E164" s="1294"/>
      <c r="F164" s="1294"/>
      <c r="G164" s="1294"/>
      <c r="H164" s="1294"/>
      <c r="I164" s="1295"/>
      <c r="J164" s="1197">
        <f>VLOOKUP($D$164,'D_Ch4-2'!$A$87:$D$106,MATCH("Voyageurs N-1",'D_Ch4-2'!$A$87:$N$87,0),FALSE)</f>
        <v>206691760</v>
      </c>
      <c r="K164" s="1197"/>
      <c r="L164" s="1197"/>
      <c r="M164" s="1198"/>
      <c r="N164" s="1299">
        <f>VLOOKUP($D$164,'D_Ch4-2'!$A$87:$D$106,MATCH("Evolution",'D_Ch4-2'!$A$87:$N$87,0),FALSE)</f>
        <v>-3.5144036541406271E-2</v>
      </c>
      <c r="O164" s="1300"/>
      <c r="P164" s="1300"/>
      <c r="Q164" s="1301"/>
      <c r="R164"/>
      <c r="S164"/>
      <c r="T164"/>
    </row>
    <row r="165" spans="1:20" ht="16.5" thickTop="1" thickBot="1">
      <c r="B165"/>
      <c r="C165"/>
      <c r="D165" s="1296" t="s">
        <v>1710</v>
      </c>
      <c r="E165" s="1297"/>
      <c r="F165" s="1297"/>
      <c r="G165" s="1297"/>
      <c r="H165" s="1297"/>
      <c r="I165" s="1298"/>
      <c r="J165" s="1309">
        <f>VLOOKUP($D$165,'D_Ch4-2'!$A$87:$D$106,MATCH("Voyageurs N-1",'D_Ch4-2'!$A$87:$N$87,0),FALSE)</f>
        <v>53593297</v>
      </c>
      <c r="K165" s="1197"/>
      <c r="L165" s="1197"/>
      <c r="M165" s="1198"/>
      <c r="N165" s="1299">
        <f>VLOOKUP($D$165,'D_Ch4-2'!$A$87:$D$106,MATCH("Evolution",'D_Ch4-2'!$A$87:$N$87,0),FALSE)</f>
        <v>-5.5144625374792585E-3</v>
      </c>
      <c r="O165" s="1300"/>
      <c r="P165" s="1300"/>
      <c r="Q165" s="1301"/>
      <c r="R165"/>
      <c r="S165"/>
      <c r="T165"/>
    </row>
    <row r="166" spans="1:20" ht="16.5" thickTop="1" thickBot="1">
      <c r="D166" s="1310" t="s">
        <v>1699</v>
      </c>
      <c r="E166" s="1311"/>
      <c r="F166" s="1311"/>
      <c r="G166" s="1311"/>
      <c r="H166" s="1311"/>
      <c r="I166" s="1312"/>
      <c r="J166" s="1309">
        <f>VLOOKUP($D$166,'D_Ch4-2'!$A$87:$D$106,MATCH("Voyageurs N-1",'D_Ch4-2'!$A$87:$N$87,0),FALSE)</f>
        <v>33163296</v>
      </c>
      <c r="K166" s="1197"/>
      <c r="L166" s="1197"/>
      <c r="M166" s="1198"/>
      <c r="N166" s="1299">
        <f>VLOOKUP($D$166,'D_Ch4-2'!$A$87:$D$106,MATCH("Evolution",'D_Ch4-2'!$A$87:$N$87,0),FALSE)</f>
        <v>-1.5393955285989533E-2</v>
      </c>
      <c r="O166" s="1300"/>
      <c r="P166" s="1300"/>
      <c r="Q166" s="1301"/>
    </row>
    <row r="167" spans="1:20" ht="16.5" thickTop="1" thickBot="1">
      <c r="D167" s="1313" t="s">
        <v>1706</v>
      </c>
      <c r="E167" s="1314"/>
      <c r="F167" s="1314"/>
      <c r="G167" s="1314"/>
      <c r="H167" s="1314"/>
      <c r="I167" s="1315"/>
      <c r="J167" s="1309">
        <f>VLOOKUP($D$167,'D_Ch4-2'!$A$87:$D$106,MATCH("Voyageurs N-1",'D_Ch4-2'!$A$87:$N$87,0),FALSE)</f>
        <v>10035656</v>
      </c>
      <c r="K167" s="1197"/>
      <c r="L167" s="1197"/>
      <c r="M167" s="1198"/>
      <c r="N167" s="1299">
        <f>VLOOKUP($D$167,'D_Ch4-2'!$A$87:$D$106,MATCH("Evolution",'D_Ch4-2'!$A$87:$N$87,0),FALSE)</f>
        <v>7.4792539097377677E-3</v>
      </c>
      <c r="O167" s="1300"/>
      <c r="P167" s="1300"/>
      <c r="Q167" s="1301"/>
    </row>
    <row r="168" spans="1:20" ht="16.5" thickTop="1" thickBot="1">
      <c r="D168" s="1316" t="s">
        <v>1704</v>
      </c>
      <c r="E168" s="1317"/>
      <c r="F168" s="1317"/>
      <c r="G168" s="1317"/>
      <c r="H168" s="1317"/>
      <c r="I168" s="1318"/>
      <c r="J168" s="1309">
        <f>VLOOKUP($D$168,'D_Ch4-2'!$A$87:$D$106,MATCH("Voyageurs N-1",'D_Ch4-2'!$A$87:$N$87,0),FALSE)</f>
        <v>12253951</v>
      </c>
      <c r="K168" s="1197"/>
      <c r="L168" s="1197"/>
      <c r="M168" s="1198"/>
      <c r="N168" s="1299">
        <f>VLOOKUP($D$168,'D_Ch4-2'!$A$87:$D$106,MATCH("Evolution",'D_Ch4-2'!$A$87:$N$87,0),FALSE)</f>
        <v>2.3253260286308308E-2</v>
      </c>
      <c r="O168" s="1300"/>
      <c r="P168" s="1300"/>
      <c r="Q168" s="1301"/>
    </row>
    <row r="169" spans="1:20" ht="15.75" thickTop="1"/>
    <row r="170" spans="1:20">
      <c r="A170" s="480"/>
      <c r="B170" s="480"/>
      <c r="C170" s="480"/>
      <c r="D170" s="480"/>
      <c r="E170" s="480"/>
      <c r="F170" s="480"/>
      <c r="G170" s="480"/>
      <c r="H170" s="480"/>
    </row>
    <row r="171" spans="1:20">
      <c r="A171" s="438" t="s">
        <v>1901</v>
      </c>
      <c r="B171" s="845"/>
      <c r="C171" s="845"/>
      <c r="D171" s="845"/>
      <c r="E171" s="845"/>
      <c r="F171" s="845"/>
      <c r="G171" s="845"/>
      <c r="H171" s="845"/>
      <c r="I171" s="845"/>
      <c r="J171" s="458"/>
    </row>
    <row r="172" spans="1:20"/>
    <row r="173" spans="1:20"/>
    <row r="174" spans="1:20"/>
    <row r="175" spans="1:20"/>
    <row r="176" spans="1:20"/>
    <row r="177"/>
    <row r="178"/>
    <row r="179"/>
    <row r="180"/>
    <row r="181"/>
    <row r="182"/>
    <row r="183"/>
    <row r="184"/>
    <row r="185"/>
    <row r="186"/>
    <row r="187"/>
    <row r="188"/>
    <row r="189"/>
    <row r="190"/>
    <row r="191"/>
    <row r="192"/>
    <row r="193"/>
    <row r="194"/>
    <row r="195"/>
    <row r="196"/>
    <row r="197"/>
    <row r="198"/>
    <row r="199"/>
    <row r="200"/>
  </sheetData>
  <sheetProtection algorithmName="SHA-512" hashValue="G0FH54EQRKKqPbfgrk8gSPl3WxP59lRWIS2FANrkdoet6v5p0kBkt5NRnOjNy+jxuWbmrYYTuEyVoz8rfA6c1w==" saltValue="bXtTOtKYKE8MwxgvQ8gB2g==" spinCount="100000" sheet="1" objects="1" autoFilter="0"/>
  <mergeCells count="140">
    <mergeCell ref="J166:M166"/>
    <mergeCell ref="N166:Q166"/>
    <mergeCell ref="J167:M167"/>
    <mergeCell ref="N167:Q167"/>
    <mergeCell ref="J168:M168"/>
    <mergeCell ref="N168:Q168"/>
    <mergeCell ref="D166:I166"/>
    <mergeCell ref="D167:I167"/>
    <mergeCell ref="D168:I168"/>
    <mergeCell ref="E163:I163"/>
    <mergeCell ref="N162:Q163"/>
    <mergeCell ref="N164:Q164"/>
    <mergeCell ref="N165:Q165"/>
    <mergeCell ref="J162:M163"/>
    <mergeCell ref="J164:M164"/>
    <mergeCell ref="J165:M165"/>
    <mergeCell ref="D164:I164"/>
    <mergeCell ref="D165:I165"/>
    <mergeCell ref="A161:C161"/>
    <mergeCell ref="I125:K125"/>
    <mergeCell ref="K131:M131"/>
    <mergeCell ref="N131:P131"/>
    <mergeCell ref="K132:M132"/>
    <mergeCell ref="N132:P132"/>
    <mergeCell ref="G131:J131"/>
    <mergeCell ref="G132:J132"/>
    <mergeCell ref="K130:M130"/>
    <mergeCell ref="N130:P130"/>
    <mergeCell ref="L126:N126"/>
    <mergeCell ref="L127:N127"/>
    <mergeCell ref="O126:Q126"/>
    <mergeCell ref="O127:Q127"/>
    <mergeCell ref="O125:Q125"/>
    <mergeCell ref="F150:T153"/>
    <mergeCell ref="A155:T156"/>
    <mergeCell ref="A126:E126"/>
    <mergeCell ref="F126:H126"/>
    <mergeCell ref="F127:H127"/>
    <mergeCell ref="I126:K126"/>
    <mergeCell ref="I127:K127"/>
    <mergeCell ref="A127:E127"/>
    <mergeCell ref="A125:E125"/>
    <mergeCell ref="F125:H125"/>
    <mergeCell ref="A86:E86"/>
    <mergeCell ref="F97:T100"/>
    <mergeCell ref="A102:T103"/>
    <mergeCell ref="A123:C123"/>
    <mergeCell ref="K95:O95"/>
    <mergeCell ref="P95:R95"/>
    <mergeCell ref="K96:O96"/>
    <mergeCell ref="P96:R96"/>
    <mergeCell ref="A95:E95"/>
    <mergeCell ref="F95:H95"/>
    <mergeCell ref="A96:E96"/>
    <mergeCell ref="F96:H96"/>
    <mergeCell ref="L125:N125"/>
    <mergeCell ref="A88:E88"/>
    <mergeCell ref="F88:H88"/>
    <mergeCell ref="K88:O88"/>
    <mergeCell ref="P88:R88"/>
    <mergeCell ref="A89:E89"/>
    <mergeCell ref="F89:H89"/>
    <mergeCell ref="K89:O89"/>
    <mergeCell ref="P89:R89"/>
    <mergeCell ref="F86:H86"/>
    <mergeCell ref="K86:O86"/>
    <mergeCell ref="P86:R86"/>
    <mergeCell ref="F84:H84"/>
    <mergeCell ref="A87:E87"/>
    <mergeCell ref="F87:H87"/>
    <mergeCell ref="K87:O87"/>
    <mergeCell ref="P87:R87"/>
    <mergeCell ref="K79:O79"/>
    <mergeCell ref="K80:O80"/>
    <mergeCell ref="K81:O81"/>
    <mergeCell ref="K82:O82"/>
    <mergeCell ref="K83:O83"/>
    <mergeCell ref="K84:O84"/>
    <mergeCell ref="A81:E81"/>
    <mergeCell ref="A82:E82"/>
    <mergeCell ref="P82:R82"/>
    <mergeCell ref="P83:R83"/>
    <mergeCell ref="P84:R84"/>
    <mergeCell ref="A83:E83"/>
    <mergeCell ref="F83:H83"/>
    <mergeCell ref="A84:E84"/>
    <mergeCell ref="A93:E93"/>
    <mergeCell ref="F93:H93"/>
    <mergeCell ref="K93:O93"/>
    <mergeCell ref="P93:R93"/>
    <mergeCell ref="A90:E90"/>
    <mergeCell ref="F90:H90"/>
    <mergeCell ref="K90:O90"/>
    <mergeCell ref="P90:R90"/>
    <mergeCell ref="A91:E91"/>
    <mergeCell ref="F91:H91"/>
    <mergeCell ref="K91:O91"/>
    <mergeCell ref="P91:R91"/>
    <mergeCell ref="E29:F29"/>
    <mergeCell ref="J28:R29"/>
    <mergeCell ref="E34:F34"/>
    <mergeCell ref="E43:F43"/>
    <mergeCell ref="E44:F44"/>
    <mergeCell ref="F81:H81"/>
    <mergeCell ref="F82:H82"/>
    <mergeCell ref="L75:M75"/>
    <mergeCell ref="R75:S75"/>
    <mergeCell ref="A58:T59"/>
    <mergeCell ref="I75:J75"/>
    <mergeCell ref="P79:R79"/>
    <mergeCell ref="P80:R80"/>
    <mergeCell ref="P81:R81"/>
    <mergeCell ref="F80:H80"/>
    <mergeCell ref="F79:H79"/>
    <mergeCell ref="A79:E79"/>
    <mergeCell ref="H60:K60"/>
    <mergeCell ref="F1:T4"/>
    <mergeCell ref="A6:T7"/>
    <mergeCell ref="A94:E94"/>
    <mergeCell ref="F94:H94"/>
    <mergeCell ref="K94:O94"/>
    <mergeCell ref="P94:R94"/>
    <mergeCell ref="E42:F42"/>
    <mergeCell ref="E30:F30"/>
    <mergeCell ref="E36:F36"/>
    <mergeCell ref="E37:F37"/>
    <mergeCell ref="E38:F38"/>
    <mergeCell ref="E39:F39"/>
    <mergeCell ref="E40:F40"/>
    <mergeCell ref="E41:F41"/>
    <mergeCell ref="F53:T56"/>
    <mergeCell ref="N60:Q60"/>
    <mergeCell ref="O75:P75"/>
    <mergeCell ref="E31:F31"/>
    <mergeCell ref="E32:F32"/>
    <mergeCell ref="E33:F33"/>
    <mergeCell ref="E35:F35"/>
    <mergeCell ref="A80:E80"/>
    <mergeCell ref="D10:H10"/>
    <mergeCell ref="N10:R10"/>
  </mergeCells>
  <conditionalFormatting sqref="K75">
    <cfRule type="iconSet" priority="5">
      <iconSet iconSet="4ArrowsGray">
        <cfvo type="percent" val="0"/>
        <cfvo type="num" val="-0.5"/>
        <cfvo type="num" val="0"/>
        <cfvo type="num" val="0.5"/>
      </iconSet>
    </cfRule>
  </conditionalFormatting>
  <conditionalFormatting sqref="Q75">
    <cfRule type="iconSet" priority="3">
      <iconSet iconSet="4ArrowsGray">
        <cfvo type="percent" val="0"/>
        <cfvo type="num" val="-0.5"/>
        <cfvo type="num" val="0"/>
        <cfvo type="num" val="0.5"/>
      </iconSet>
    </cfRule>
  </conditionalFormatting>
  <hyperlinks>
    <hyperlink ref="A61:J61" location="Glossaire!A199" display="Balance commerciale exprimée en million d'euros" xr:uid="{00000000-0004-0000-1900-000000000000}"/>
    <hyperlink ref="A105" location="Glossaire!A205" display="Activité aéroportuaire en 2014" xr:uid="{00000000-0004-0000-1900-000001000000}"/>
    <hyperlink ref="A129" location="Glossaire!A197" display="Activités portuaires en 2015" xr:uid="{00000000-0004-0000-1900-000002000000}"/>
    <hyperlink ref="A105:E105" location="Glossaire!A205" display="Activité aéroportuaire en 2014" xr:uid="{00000000-0004-0000-1900-000003000000}"/>
    <hyperlink ref="A129:C129" location="Glossaire!A211" display="Activtés portuaires " xr:uid="{00000000-0004-0000-1900-000004000000}"/>
    <hyperlink ref="A61:I61" location="Glossaire!A233" display="Balance commerciale exprimée en million d'euros" xr:uid="{00000000-0004-0000-1900-000005000000}"/>
    <hyperlink ref="A105:F105" location="Glossaire!A247" display="Activités aéroportuaires en 2016" xr:uid="{00000000-0004-0000-1900-000006000000}"/>
    <hyperlink ref="A129:E129" location="Glossaire!A253" display="Activités portuaires en 2015" xr:uid="{00000000-0004-0000-1900-000007000000}"/>
    <hyperlink ref="A105:G105" location="Glossaire!A237" display="Activités aéroportuaires en 2015" xr:uid="{00000000-0004-0000-1900-000008000000}"/>
    <hyperlink ref="A129:F129" location="Glossaire!A243" display="Activités portuaires en 2015" xr:uid="{00000000-0004-0000-1900-000009000000}"/>
    <hyperlink ref="A171" location="Glossaire!A255" display="Trafic en 2015 (hors gares parisiennes)" xr:uid="{00000000-0004-0000-1900-00000A000000}"/>
    <hyperlink ref="A105:D105" location="Glossaire!A240" display="Activités aéroportuaires" xr:uid="{00000000-0004-0000-1900-00000B000000}"/>
    <hyperlink ref="A129:D129" location="Glossaire!A246" display="Activités portuaires" xr:uid="{00000000-0004-0000-1900-00000C000000}"/>
    <hyperlink ref="A171:I171" location="Glossaire!A249" display="Nombre de voyageurs en 2015 (hors gares parisiennes)" xr:uid="{00000000-0004-0000-1900-00000D000000}"/>
    <hyperlink ref="A160:I160" location="'Richesse et échanges'!A249" display="Volume et évolution de la fréquentation des voyageurs" xr:uid="{00000000-0004-0000-1900-00000E000000}"/>
    <hyperlink ref="A8:Q8" location="Glossaire!A206" display="Spécialisation régionale de la valeur ajoutée par rapport à la France métropolitaine en 2014" xr:uid="{00000000-0004-0000-1900-00000F000000}"/>
    <hyperlink ref="A27:L27" location="Glossaire!A225" display="PIB par habitant en $ des Aires Urbaines Fonctionnelles en 2012" xr:uid="{00000000-0004-0000-1900-000010000000}"/>
    <hyperlink ref="A158:F158" location="Glossaire!A249" display="Fréquentation en gares en 2015" xr:uid="{00000000-0004-0000-1900-000011000000}"/>
    <hyperlink ref="A107:K107" location="Glossaire!A240" display="Evolution du trafic de passagers commerciaux en base 100 en 2012" xr:uid="{00000000-0004-0000-1900-000012000000}"/>
    <hyperlink ref="A160:J160" location="Glossaire!A249" display="Volume et évolution de la fréquentation des voyageurs" xr:uid="{00000000-0004-0000-1900-000013000000}"/>
  </hyperlinks>
  <pageMargins left="0.23622047244094491" right="0.23622047244094491" top="0.55118110236220474" bottom="0.55118110236220474" header="0.11811023622047245" footer="0.11811023622047245"/>
  <pageSetup paperSize="9" fitToWidth="0" fitToHeight="0" orientation="portrait" r:id="rId1"/>
  <headerFooter>
    <oddHeader>&amp;C&amp;"Arial,Gras"&amp;10Tableau de bord / Mise à jour avril 2018</oddHeader>
    <oddFooter>&amp;C&amp;"-,Italique"&amp;8&amp;A&amp;R&amp;8Page &amp;P</oddFooter>
  </headerFooter>
  <rowBreaks count="2" manualBreakCount="2">
    <brk id="52" max="16383" man="1"/>
    <brk id="96" max="1638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0000000}">
          <x14:formula1>
            <xm:f>'D_Ch4-2'!$A$7:$A$18</xm:f>
          </x14:formula1>
          <xm:sqref>A126:A127</xm:sqref>
        </x14:dataValidation>
        <x14:dataValidation type="list" allowBlank="1" showInputMessage="1" showErrorMessage="1" xr:uid="{00000000-0002-0000-1900-000001000000}">
          <x14:formula1>
            <xm:f>'D_Ch4-2'!$A$50:$A$61</xm:f>
          </x14:formula1>
          <xm:sqref>G131:J132</xm:sqref>
        </x14:dataValidation>
        <x14:dataValidation type="list" allowBlank="1" showInputMessage="1" showErrorMessage="1" xr:uid="{00000000-0002-0000-1900-000002000000}">
          <x14:formula1>
            <xm:f>'D_Ch4-3'!$K$5:$K$19</xm:f>
          </x14:formula1>
          <xm:sqref>H60:K60 N60:Q60</xm:sqref>
        </x14:dataValidation>
        <x14:dataValidation type="list" allowBlank="1" showInputMessage="1" showErrorMessage="1" xr:uid="{00000000-0002-0000-1900-000003000000}">
          <x14:formula1>
            <xm:f>'D_Ch4-1'!$A$7:$A$15</xm:f>
          </x14:formula1>
          <xm:sqref>D10:H10 N10:R10</xm:sqref>
        </x14:dataValidation>
        <x14:dataValidation type="list" allowBlank="1" showInputMessage="1" showErrorMessage="1" xr:uid="{00000000-0002-0000-1900-000004000000}">
          <x14:formula1>
            <xm:f>'D_Ch4-2'!$A$88:$A$106</xm:f>
          </x14:formula1>
          <xm:sqref>D164:D168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A101"/>
  <sheetViews>
    <sheetView showGridLines="0" showRowColHeaders="0" showRuler="0" view="pageLayout" zoomScaleNormal="100" workbookViewId="0">
      <selection activeCell="O59" sqref="O59:S59"/>
    </sheetView>
  </sheetViews>
  <sheetFormatPr baseColWidth="10" defaultColWidth="0" defaultRowHeight="15" zeroHeight="1"/>
  <cols>
    <col min="1" max="1" width="4.7109375" style="325" customWidth="1"/>
    <col min="2" max="2" width="4.42578125" style="325" customWidth="1"/>
    <col min="3" max="9" width="4.7109375" style="325" customWidth="1"/>
    <col min="10" max="10" width="5.7109375" style="325" customWidth="1"/>
    <col min="11" max="14" width="4.7109375" style="325" customWidth="1"/>
    <col min="15" max="15" width="5.42578125" style="325" customWidth="1"/>
    <col min="16" max="19" width="4.7109375" style="325" customWidth="1"/>
    <col min="20" max="20" width="5.42578125" style="325" customWidth="1"/>
    <col min="21" max="21" width="1.42578125" style="234" customWidth="1"/>
    <col min="22" max="27" width="0" style="234" hidden="1" customWidth="1"/>
    <col min="28" max="16384" width="11.42578125" style="234" hidden="1"/>
  </cols>
  <sheetData>
    <row r="1" spans="1:21" s="198" customFormat="1" ht="15" customHeight="1">
      <c r="A1" s="195"/>
      <c r="B1" s="196"/>
      <c r="C1" s="197"/>
      <c r="D1" s="197"/>
      <c r="E1" s="197"/>
      <c r="F1" s="1105" t="s">
        <v>1039</v>
      </c>
      <c r="G1" s="1105"/>
      <c r="H1" s="1105"/>
      <c r="I1" s="1105"/>
      <c r="J1" s="1105"/>
      <c r="K1" s="1105"/>
      <c r="L1" s="1105"/>
      <c r="M1" s="1105"/>
      <c r="N1" s="1105"/>
      <c r="O1" s="1105"/>
      <c r="P1" s="1105"/>
      <c r="Q1" s="1105"/>
      <c r="R1" s="1105"/>
      <c r="S1" s="1105"/>
      <c r="T1" s="1105"/>
      <c r="U1" s="593"/>
    </row>
    <row r="2" spans="1:21" s="198" customFormat="1" ht="12.75" customHeight="1">
      <c r="A2" s="199"/>
      <c r="B2" s="197"/>
      <c r="C2" s="197"/>
      <c r="D2" s="197"/>
      <c r="E2" s="197"/>
      <c r="F2" s="1105"/>
      <c r="G2" s="1105"/>
      <c r="H2" s="1105"/>
      <c r="I2" s="1105"/>
      <c r="J2" s="1105"/>
      <c r="K2" s="1105"/>
      <c r="L2" s="1105"/>
      <c r="M2" s="1105"/>
      <c r="N2" s="1105"/>
      <c r="O2" s="1105"/>
      <c r="P2" s="1105"/>
      <c r="Q2" s="1105"/>
      <c r="R2" s="1105"/>
      <c r="S2" s="1105"/>
      <c r="T2" s="1105"/>
      <c r="U2" s="593"/>
    </row>
    <row r="3" spans="1:21" s="198" customFormat="1" ht="15" customHeight="1">
      <c r="A3" s="200"/>
      <c r="B3" s="197"/>
      <c r="C3" s="197"/>
      <c r="D3" s="197"/>
      <c r="E3" s="197"/>
      <c r="F3" s="1105"/>
      <c r="G3" s="1105"/>
      <c r="H3" s="1105"/>
      <c r="I3" s="1105"/>
      <c r="J3" s="1105"/>
      <c r="K3" s="1105"/>
      <c r="L3" s="1105"/>
      <c r="M3" s="1105"/>
      <c r="N3" s="1105"/>
      <c r="O3" s="1105"/>
      <c r="P3" s="1105"/>
      <c r="Q3" s="1105"/>
      <c r="R3" s="1105"/>
      <c r="S3" s="1105"/>
      <c r="T3" s="1105"/>
      <c r="U3" s="593"/>
    </row>
    <row r="4" spans="1:21" customFormat="1" ht="12.75" customHeight="1">
      <c r="F4" s="1105"/>
      <c r="G4" s="1105"/>
      <c r="H4" s="1105"/>
      <c r="I4" s="1105"/>
      <c r="J4" s="1105"/>
      <c r="K4" s="1105"/>
      <c r="L4" s="1105"/>
      <c r="M4" s="1105"/>
      <c r="N4" s="1105"/>
      <c r="O4" s="1105"/>
      <c r="P4" s="1105"/>
      <c r="Q4" s="1105"/>
      <c r="R4" s="1105"/>
      <c r="S4" s="1105"/>
      <c r="T4" s="1105"/>
    </row>
    <row r="5" spans="1:21" customFormat="1" ht="5.25" customHeight="1"/>
    <row r="6" spans="1:21" s="198" customFormat="1" ht="15" customHeight="1">
      <c r="A6" s="1102" t="s">
        <v>1489</v>
      </c>
      <c r="B6" s="1102"/>
      <c r="C6" s="1102"/>
      <c r="D6" s="1102"/>
      <c r="E6" s="1102"/>
      <c r="F6" s="1102"/>
      <c r="G6" s="1102"/>
      <c r="H6" s="1102"/>
      <c r="I6" s="1102"/>
      <c r="J6" s="1102"/>
      <c r="K6" s="1102"/>
      <c r="L6" s="1102"/>
      <c r="M6" s="1102"/>
      <c r="N6" s="1102"/>
      <c r="O6" s="1102"/>
      <c r="P6" s="1102"/>
      <c r="Q6" s="1102"/>
      <c r="R6" s="1102"/>
      <c r="S6" s="1102"/>
      <c r="T6" s="1102"/>
      <c r="U6" s="784"/>
    </row>
    <row r="7" spans="1:21" s="198" customFormat="1" ht="15" customHeight="1">
      <c r="A7" s="1102"/>
      <c r="B7" s="1102"/>
      <c r="C7" s="1102"/>
      <c r="D7" s="1102"/>
      <c r="E7" s="1102"/>
      <c r="F7" s="1102"/>
      <c r="G7" s="1102"/>
      <c r="H7" s="1102"/>
      <c r="I7" s="1102"/>
      <c r="J7" s="1102"/>
      <c r="K7" s="1102"/>
      <c r="L7" s="1102"/>
      <c r="M7" s="1102"/>
      <c r="N7" s="1102"/>
      <c r="O7" s="1102"/>
      <c r="P7" s="1102"/>
      <c r="Q7" s="1102"/>
      <c r="R7" s="1102"/>
      <c r="S7" s="1102"/>
      <c r="T7" s="1102"/>
      <c r="U7" s="784"/>
    </row>
    <row r="8" spans="1:21" s="213" customFormat="1" ht="7.5" customHeight="1" thickBot="1">
      <c r="A8" s="409"/>
      <c r="B8" s="409"/>
      <c r="C8" s="409"/>
      <c r="D8" s="409"/>
      <c r="E8" s="409"/>
      <c r="F8" s="409"/>
      <c r="G8" s="409"/>
      <c r="H8" s="409"/>
      <c r="I8" s="409"/>
      <c r="J8" s="409"/>
      <c r="K8" s="409"/>
      <c r="L8" s="409"/>
      <c r="M8" s="409"/>
      <c r="N8" s="409"/>
      <c r="O8" s="409"/>
      <c r="P8" s="409"/>
      <c r="Q8" s="409"/>
      <c r="R8" s="409"/>
      <c r="S8" s="409"/>
      <c r="T8" s="409"/>
    </row>
    <row r="9" spans="1:21" ht="16.5" thickTop="1" thickBot="1">
      <c r="A9" s="1011" t="s">
        <v>1077</v>
      </c>
      <c r="B9" s="1012"/>
      <c r="C9" s="1013"/>
      <c r="H9" s="1049" t="s">
        <v>2</v>
      </c>
      <c r="I9" s="1050"/>
      <c r="J9" s="1050"/>
      <c r="K9" s="1050"/>
      <c r="L9" s="1050"/>
      <c r="M9" s="1051"/>
      <c r="N9" s="745"/>
      <c r="O9" s="1322" t="s">
        <v>461</v>
      </c>
      <c r="P9" s="1323"/>
      <c r="Q9" s="1323"/>
      <c r="R9" s="1323"/>
      <c r="S9" s="1324"/>
    </row>
    <row r="10" spans="1:21" s="256" customFormat="1" ht="7.5" customHeight="1" thickTop="1">
      <c r="A10" s="534"/>
      <c r="B10" s="534"/>
      <c r="C10" s="534"/>
      <c r="D10" s="535"/>
      <c r="E10" s="535"/>
      <c r="F10" s="535"/>
      <c r="G10" s="535"/>
      <c r="H10"/>
      <c r="I10"/>
      <c r="J10"/>
      <c r="K10"/>
      <c r="L10"/>
      <c r="M10"/>
      <c r="N10" s="535"/>
      <c r="O10"/>
      <c r="P10"/>
      <c r="Q10"/>
      <c r="R10"/>
      <c r="S10"/>
      <c r="T10" s="535"/>
    </row>
    <row r="11" spans="1:21">
      <c r="A11" s="852" t="s">
        <v>1177</v>
      </c>
      <c r="B11" s="852"/>
      <c r="C11" s="852"/>
      <c r="D11" s="852"/>
      <c r="E11" s="852"/>
    </row>
    <row r="12" spans="1:21" s="235" customFormat="1" ht="7.5" customHeight="1">
      <c r="A12" s="325"/>
      <c r="B12" s="325"/>
      <c r="C12" s="325"/>
      <c r="D12" s="325"/>
      <c r="E12" s="325"/>
      <c r="F12" s="325"/>
      <c r="G12" s="325"/>
      <c r="H12" s="325"/>
      <c r="I12" s="325"/>
      <c r="J12" s="325"/>
      <c r="K12" s="325"/>
      <c r="L12" s="325"/>
      <c r="M12" s="325"/>
      <c r="N12" s="325"/>
      <c r="O12" s="325"/>
      <c r="P12" s="325"/>
      <c r="Q12" s="325"/>
      <c r="R12" s="325"/>
      <c r="S12" s="325"/>
      <c r="T12" s="536"/>
    </row>
    <row r="13" spans="1:21" ht="38.25" customHeight="1">
      <c r="A13" s="1319" t="s">
        <v>1826</v>
      </c>
      <c r="B13" s="1320"/>
      <c r="C13" s="1320"/>
      <c r="D13" s="1320"/>
      <c r="E13" s="1320"/>
      <c r="F13" s="1320"/>
      <c r="G13" s="1321"/>
      <c r="H13" s="1334" t="s">
        <v>1251</v>
      </c>
      <c r="I13" s="1335"/>
      <c r="J13" s="1336"/>
      <c r="K13" s="1337" t="s">
        <v>1363</v>
      </c>
      <c r="L13" s="1338"/>
      <c r="M13" s="1339"/>
      <c r="N13" s="1334" t="s">
        <v>1198</v>
      </c>
      <c r="O13" s="1335"/>
      <c r="P13" s="1336"/>
      <c r="Q13" s="1337" t="s">
        <v>1186</v>
      </c>
      <c r="R13" s="1338"/>
      <c r="S13" s="1339"/>
      <c r="T13" s="403"/>
    </row>
    <row r="14" spans="1:21">
      <c r="A14" s="537" t="str">
        <f>H9</f>
        <v>Bordeaux</v>
      </c>
      <c r="B14" s="538"/>
      <c r="C14" s="538"/>
      <c r="D14" s="538"/>
      <c r="E14" s="538"/>
      <c r="F14" s="538"/>
      <c r="G14" s="539"/>
      <c r="H14" s="1325">
        <f>VLOOKUP($H$9,'D_Ch6-1'!$B$33:$H$62,MATCH("Inscript N-1",'D_Ch6-1'!$B$33:$H$33,0),FALSE)</f>
        <v>124894</v>
      </c>
      <c r="I14" s="1326"/>
      <c r="J14" s="1327"/>
      <c r="K14" s="1328">
        <f>VLOOKUP($H$9,'D_Ch6-1'!$B$33:$H$62,MATCH("Etudiant/hab",'D_Ch6-1'!$B$33:$H$33,0),FALSE)</f>
        <v>3.7356213543040674E-2</v>
      </c>
      <c r="L14" s="1329"/>
      <c r="M14" s="1330"/>
      <c r="N14" s="1331">
        <f>VLOOKUP($H$9,'D_Ch6-1'!$B$33:$H$62,MATCH("Rang N-1",'D_Ch6-1'!$B$33:$H$33,0),FALSE)</f>
        <v>8</v>
      </c>
      <c r="O14" s="1332"/>
      <c r="P14" s="1333"/>
      <c r="Q14" s="1328">
        <f>VLOOKUP($H$9,'D_Ch6-1'!$B$33:$H$62,MATCH("Evolution",'D_Ch6-1'!$B$33:$H$33,0),FALSE)</f>
        <v>2.8543663734888165E-2</v>
      </c>
      <c r="R14" s="1329"/>
      <c r="S14" s="1330"/>
      <c r="T14" s="403"/>
    </row>
    <row r="15" spans="1:21">
      <c r="A15" s="540" t="str">
        <f>O9</f>
        <v>Toulouse</v>
      </c>
      <c r="B15" s="541"/>
      <c r="C15" s="541"/>
      <c r="D15" s="541"/>
      <c r="E15" s="541"/>
      <c r="F15" s="541"/>
      <c r="G15" s="542"/>
      <c r="H15" s="1325">
        <f>VLOOKUP($O$9,'D_Ch6-1'!$B$33:$H$62,MATCH("Inscript N-1",'D_Ch6-1'!$B$33:$H$33,0),FALSE)</f>
        <v>135230</v>
      </c>
      <c r="I15" s="1326"/>
      <c r="J15" s="1327"/>
      <c r="K15" s="1328">
        <f>VLOOKUP($O$9,'D_Ch6-1'!$B$33:$H$62,MATCH("Etudiant/hab",'D_Ch6-1'!$B$33:$H$33,0),FALSE)</f>
        <v>4.5391974451867489E-2</v>
      </c>
      <c r="L15" s="1329"/>
      <c r="M15" s="1330"/>
      <c r="N15" s="1331">
        <f>VLOOKUP($O$9,'D_Ch6-1'!$B$33:$H$62,MATCH("Rang N-1",'D_Ch6-1'!$B$33:$H$33,0),FALSE)</f>
        <v>2</v>
      </c>
      <c r="O15" s="1332"/>
      <c r="P15" s="1333"/>
      <c r="Q15" s="1328">
        <f>VLOOKUP($O$9,'D_Ch6-1'!$B$33:$H$62,MATCH("Evolution",'D_Ch6-1'!$B$33:$H$33,0),FALSE)</f>
        <v>1.7463076240134226E-2</v>
      </c>
      <c r="R15" s="1329"/>
      <c r="S15" s="1330"/>
      <c r="T15" s="403"/>
    </row>
    <row r="16" spans="1:21"/>
    <row r="17" spans="1:17">
      <c r="A17" s="437" t="s">
        <v>1827</v>
      </c>
      <c r="B17" s="852"/>
      <c r="C17" s="852"/>
      <c r="D17" s="852"/>
      <c r="E17" s="852"/>
      <c r="F17" s="852"/>
      <c r="G17" s="852"/>
      <c r="H17" s="852"/>
      <c r="I17" s="852"/>
      <c r="J17" s="852"/>
      <c r="K17" s="852"/>
      <c r="L17" s="852"/>
      <c r="M17" s="852"/>
      <c r="N17" s="852"/>
      <c r="O17" s="845"/>
      <c r="P17" s="413"/>
    </row>
    <row r="18" spans="1:17">
      <c r="A18" s="543" t="s">
        <v>1472</v>
      </c>
      <c r="Q18" s="535"/>
    </row>
    <row r="19" spans="1:17"/>
    <row r="20" spans="1:17"/>
    <row r="21" spans="1:17"/>
    <row r="22" spans="1:17"/>
    <row r="23" spans="1:17"/>
    <row r="24" spans="1:17"/>
    <row r="25" spans="1:17"/>
    <row r="26" spans="1:17"/>
    <row r="27" spans="1:17"/>
    <row r="28" spans="1:17"/>
    <row r="29" spans="1:17"/>
    <row r="30" spans="1:17"/>
    <row r="31" spans="1:17"/>
    <row r="32" spans="1:17"/>
    <row r="33" spans="1:27">
      <c r="A33" s="852" t="s">
        <v>1238</v>
      </c>
      <c r="B33" s="852"/>
      <c r="C33" s="852"/>
      <c r="D33" s="852"/>
      <c r="E33" s="852"/>
      <c r="F33" s="852"/>
      <c r="G33" s="852"/>
      <c r="H33" s="852"/>
      <c r="I33" s="852"/>
      <c r="J33" s="852"/>
      <c r="K33" s="852"/>
      <c r="L33" s="852"/>
    </row>
    <row r="34" spans="1:27" s="256" customFormat="1" ht="15.75" thickBot="1">
      <c r="A34" s="412"/>
      <c r="B34" s="325"/>
      <c r="C34" s="325"/>
      <c r="D34" s="325"/>
      <c r="E34" s="325"/>
      <c r="F34" s="325"/>
      <c r="G34" s="325"/>
      <c r="H34" s="325"/>
      <c r="I34" s="325"/>
      <c r="J34" s="325"/>
      <c r="K34" s="325"/>
      <c r="L34" s="325"/>
      <c r="M34" s="325"/>
      <c r="N34" s="325"/>
      <c r="O34" s="325"/>
      <c r="P34" s="325"/>
      <c r="Q34" s="325"/>
      <c r="R34" s="325"/>
      <c r="S34" s="325"/>
      <c r="T34" s="535"/>
    </row>
    <row r="35" spans="1:27" s="243" customFormat="1" ht="16.5" thickTop="1" thickBot="1">
      <c r="A35" s="325"/>
      <c r="B35" s="325"/>
      <c r="C35" s="325"/>
      <c r="D35" s="325"/>
      <c r="E35" s="325"/>
      <c r="F35" s="325"/>
      <c r="G35" s="325"/>
      <c r="H35" s="1049" t="s">
        <v>1406</v>
      </c>
      <c r="I35" s="1050"/>
      <c r="J35" s="1050"/>
      <c r="K35" s="1050"/>
      <c r="L35" s="1050"/>
      <c r="M35" s="1051"/>
      <c r="N35" s="745"/>
      <c r="O35" s="1322" t="s">
        <v>1407</v>
      </c>
      <c r="P35" s="1323"/>
      <c r="Q35" s="1323"/>
      <c r="R35" s="1323"/>
      <c r="S35" s="1324"/>
      <c r="T35" s="544"/>
    </row>
    <row r="36" spans="1:27" s="216" customFormat="1" ht="15.75" thickTop="1">
      <c r="A36" s="535"/>
      <c r="B36" s="535"/>
      <c r="C36" s="535"/>
      <c r="D36" s="535"/>
      <c r="E36" s="535"/>
      <c r="F36" s="535"/>
      <c r="G36" s="535"/>
      <c r="H36"/>
      <c r="I36"/>
      <c r="J36"/>
      <c r="K36"/>
      <c r="L36"/>
      <c r="M36"/>
      <c r="N36" s="535"/>
      <c r="O36"/>
      <c r="P36"/>
      <c r="Q36"/>
      <c r="R36"/>
      <c r="S36"/>
      <c r="T36" s="403"/>
    </row>
    <row r="37" spans="1:27" s="216" customFormat="1" ht="33" customHeight="1">
      <c r="A37" s="544"/>
      <c r="B37" s="544"/>
      <c r="C37" s="544"/>
      <c r="D37" s="544"/>
      <c r="E37" s="544"/>
      <c r="F37" s="1340" t="s">
        <v>1948</v>
      </c>
      <c r="G37" s="1341"/>
      <c r="H37" s="1341"/>
      <c r="I37" s="1342"/>
      <c r="J37" s="1340" t="s">
        <v>1237</v>
      </c>
      <c r="K37" s="1341"/>
      <c r="L37" s="1342"/>
      <c r="M37" s="1340" t="s">
        <v>1268</v>
      </c>
      <c r="N37" s="1341"/>
      <c r="O37" s="1342"/>
      <c r="P37" s="1340" t="s">
        <v>1949</v>
      </c>
      <c r="Q37" s="1342"/>
      <c r="R37" s="1340" t="s">
        <v>853</v>
      </c>
      <c r="S37" s="1342"/>
      <c r="T37" s="403"/>
    </row>
    <row r="38" spans="1:27" s="216" customFormat="1" ht="15" customHeight="1">
      <c r="A38" s="1352" t="str">
        <f>$H$35</f>
        <v>Nouvelle-Aquitaine</v>
      </c>
      <c r="B38" s="1353"/>
      <c r="C38" s="1353"/>
      <c r="D38" s="1353"/>
      <c r="E38" s="1354"/>
      <c r="F38" s="1325">
        <f>VLOOKUP($H$35,'D_Ch6-2'!$A$9:$L$23,MATCH("nombre de chercheurs N-1",'D_Ch6-2'!$A$9:$L$9,0),FALSE)</f>
        <v>12446.531599999998</v>
      </c>
      <c r="G38" s="1326"/>
      <c r="H38" s="1326"/>
      <c r="I38" s="1327"/>
      <c r="J38" s="1343">
        <f>VLOOKUP($H$35,'D_Ch6-2'!$A$9:$L$23,MATCH("Part dans la pop active",'D_Ch6-2'!$A$9:$L$9,0),FALSE)</f>
        <v>4.680947130075155E-3</v>
      </c>
      <c r="K38" s="1344"/>
      <c r="L38" s="1345"/>
      <c r="M38" s="1346">
        <f>VLOOKUP($H$35,'D_Ch6-2'!$A$9:$L$23,MATCH("Rang",'D_Ch6-2'!$A$9:$L$9,0),FALSE)</f>
        <v>8</v>
      </c>
      <c r="N38" s="1347"/>
      <c r="O38" s="1348"/>
      <c r="P38" s="1343">
        <f>(VLOOKUP($H$35,'D_Ch6-2'!$A$9:$L$23,MATCH("Evol N-2_N-1",'D_Ch6-2'!$A$9:$L$9,0),FALSE))</f>
        <v>1.4113413914535047E-2</v>
      </c>
      <c r="Q38" s="1345">
        <f>VLOOKUP($H$35,'D_Ch6-2'!$A$9:$L$20,MATCH("Rang",'D_Ch6-2'!$A$9:$L$9,0),FALSE)</f>
        <v>8</v>
      </c>
      <c r="R38" s="1343">
        <f>VLOOKUP($H$35,'D_Ch6-2'!$A$9:$L$23,MATCH("Part Chercheur privé ",'D_Ch6-2'!$A$9:$L$9,0),FALSE)/100</f>
        <v>5.310807550595059E-3</v>
      </c>
      <c r="S38" s="1345">
        <f>VLOOKUP($H$35,'D_Ch6-2'!$A$9:$L$20,MATCH("Rang",'D_Ch6-2'!$A$9:$L$9,0),FALSE)</f>
        <v>8</v>
      </c>
      <c r="T38" s="403"/>
    </row>
    <row r="39" spans="1:27">
      <c r="A39" s="1355" t="str">
        <f>$O$35</f>
        <v>Occitanie</v>
      </c>
      <c r="B39" s="1356"/>
      <c r="C39" s="1356"/>
      <c r="D39" s="1356"/>
      <c r="E39" s="1357"/>
      <c r="F39" s="1325">
        <f>VLOOKUP($O$35,'D_Ch6-2'!$A$9:$L$23,MATCH("nombre de chercheurs N-1",'D_Ch6-2'!$A$9:$L$9,0),FALSE)</f>
        <v>30555.033479999998</v>
      </c>
      <c r="G39" s="1326"/>
      <c r="H39" s="1326"/>
      <c r="I39" s="1327"/>
      <c r="J39" s="1343">
        <f>VLOOKUP($O$35,'D_Ch6-2'!$A$9:$L$23,MATCH("Part dans la pop active",'D_Ch6-2'!$A$9:$L$9,0),FALSE)</f>
        <v>1.1874491622979051E-2</v>
      </c>
      <c r="K39" s="1344"/>
      <c r="L39" s="1345"/>
      <c r="M39" s="1346">
        <f>VLOOKUP($O$35,'D_Ch6-2'!$A$9:$L$23,MATCH("Rang",'D_Ch6-2'!$A$9:$L$9,0),FALSE)</f>
        <v>2</v>
      </c>
      <c r="N39" s="1347"/>
      <c r="O39" s="1348"/>
      <c r="P39" s="1343">
        <f>(VLOOKUP($O$35,'D_Ch6-2'!$A$9:$L$23,MATCH("Evol N-2_N-1",'D_Ch6-2'!$A$9:$L$9,0),FALSE))</f>
        <v>-1.4725682864957887E-4</v>
      </c>
      <c r="Q39" s="1345">
        <f>VLOOKUP($H$35,'D_Ch6-2'!$A$9:$L$20,MATCH("Rang",'D_Ch6-2'!$A$9:$L$9,0),FALSE)</f>
        <v>8</v>
      </c>
      <c r="R39" s="1343">
        <f>VLOOKUP($O$35,'D_Ch6-2'!$A$9:$L$23,MATCH("Part Chercheur privé ",'D_Ch6-2'!$A$9:$L$9,0),FALSE)/100</f>
        <v>5.8225172659833709E-3</v>
      </c>
      <c r="S39" s="1345">
        <f>VLOOKUP($H$35,'D_Ch6-2'!$A$9:$L$20,MATCH("Rang",'D_Ch6-2'!$A$9:$L$9,0),FALSE)</f>
        <v>8</v>
      </c>
      <c r="X39" s="437"/>
      <c r="Y39" s="413"/>
      <c r="Z39" s="413"/>
      <c r="AA39" s="413"/>
    </row>
    <row r="40" spans="1:27" ht="7.5" customHeight="1" thickBot="1"/>
    <row r="41" spans="1:27" ht="16.5" thickTop="1" thickBot="1">
      <c r="A41" s="437" t="s">
        <v>1973</v>
      </c>
      <c r="B41" s="852"/>
      <c r="C41" s="228"/>
      <c r="D41" s="156"/>
      <c r="E41" s="852"/>
      <c r="H41" s="1049" t="s">
        <v>1406</v>
      </c>
      <c r="I41" s="1050"/>
      <c r="J41" s="1050"/>
      <c r="K41" s="1050"/>
      <c r="L41" s="1050"/>
      <c r="M41" s="1051"/>
      <c r="N41" s="745"/>
      <c r="O41" s="1322" t="s">
        <v>1407</v>
      </c>
      <c r="P41" s="1323"/>
      <c r="Q41" s="1323"/>
      <c r="R41" s="1323"/>
      <c r="S41" s="1324"/>
    </row>
    <row r="42" spans="1:27" ht="6.75" customHeight="1" thickTop="1">
      <c r="C42" s="867"/>
      <c r="D42" s="867"/>
      <c r="I42" s="545"/>
      <c r="J42" s="545"/>
      <c r="K42" s="545"/>
      <c r="L42" s="545"/>
      <c r="P42" s="310"/>
      <c r="Q42" s="310"/>
      <c r="R42" s="310"/>
      <c r="S42" s="310"/>
      <c r="T42" s="310"/>
    </row>
    <row r="43" spans="1:27" ht="36" customHeight="1">
      <c r="A43" s="544"/>
      <c r="B43" s="544"/>
      <c r="C43" s="867"/>
      <c r="D43" s="867"/>
      <c r="E43" s="544"/>
      <c r="F43" s="1340" t="s">
        <v>1069</v>
      </c>
      <c r="G43" s="1341"/>
      <c r="H43" s="1341"/>
      <c r="I43" s="1342"/>
      <c r="J43" s="1340" t="s">
        <v>1744</v>
      </c>
      <c r="K43" s="1341"/>
      <c r="L43" s="1342"/>
      <c r="M43" s="1340" t="s">
        <v>181</v>
      </c>
      <c r="N43" s="1341"/>
      <c r="O43" s="1342"/>
      <c r="P43" s="310"/>
      <c r="Q43" s="310"/>
      <c r="R43" s="310"/>
      <c r="S43" s="310"/>
      <c r="T43" s="310"/>
      <c r="V43" s="164"/>
    </row>
    <row r="44" spans="1:27">
      <c r="A44" s="1352" t="str">
        <f>$H$41</f>
        <v>Nouvelle-Aquitaine</v>
      </c>
      <c r="B44" s="1353"/>
      <c r="C44" s="1353"/>
      <c r="D44" s="1353"/>
      <c r="E44" s="1354"/>
      <c r="F44" s="1325">
        <f>VLOOKUP($H$41,'D_Ch6-2'!$A$26:$L$36,MATCH("Nombre de brevets",'D_Ch6-2'!$A$26:$L$26,0),FALSE)</f>
        <v>514</v>
      </c>
      <c r="G44" s="1326"/>
      <c r="H44" s="1326"/>
      <c r="I44" s="1327"/>
      <c r="J44" s="1349">
        <f>VLOOKUP($H$41,'D_Ch6-2'!$A$26:$L$36,MATCH("Nb brevets pour 10000 emplois",'D_Ch6-2'!$A$26:$L$26,0),FALSE)</f>
        <v>2.208567868345293</v>
      </c>
      <c r="K44" s="1350"/>
      <c r="L44" s="1351"/>
      <c r="M44" s="1346">
        <f>VLOOKUP($H$41,'D_Ch6-2'!$A$26:$L$36,MATCH("Rang brevet",'D_Ch6-2'!$A$26:$L$26,0),FALSE)</f>
        <v>6</v>
      </c>
      <c r="N44" s="1347"/>
      <c r="O44" s="1348"/>
      <c r="P44" s="310"/>
      <c r="Q44" s="310"/>
      <c r="R44" s="310"/>
      <c r="S44" s="310"/>
      <c r="T44" s="310"/>
    </row>
    <row r="45" spans="1:27">
      <c r="A45" s="1355" t="str">
        <f>$O$41</f>
        <v>Occitanie</v>
      </c>
      <c r="B45" s="1356"/>
      <c r="C45" s="1356"/>
      <c r="D45" s="1356"/>
      <c r="E45" s="1357"/>
      <c r="F45" s="1325">
        <f>VLOOKUP($O$41,'D_Ch6-2'!$A$26:$L$36,MATCH("Nombre de brevets",'D_Ch6-2'!$A$26:$L$26,0),FALSE)</f>
        <v>685</v>
      </c>
      <c r="G45" s="1326"/>
      <c r="H45" s="1326"/>
      <c r="I45" s="1327"/>
      <c r="J45" s="1349">
        <f>VLOOKUP($O$41,'D_Ch6-2'!$A$26:$L$36,MATCH("Nb brevets pour 10000 emplois",'D_Ch6-2'!$A$26:$L$26,0),FALSE)</f>
        <v>3.2177752724539648</v>
      </c>
      <c r="K45" s="1350"/>
      <c r="L45" s="1351"/>
      <c r="M45" s="1346">
        <f>VLOOKUP($O$41,'D_Ch6-2'!$A$26:$L$36,MATCH("Rang brevet",'D_Ch6-2'!$A$26:$L$26,0),FALSE)</f>
        <v>5</v>
      </c>
      <c r="N45" s="1347"/>
      <c r="O45" s="1348"/>
      <c r="P45" s="310"/>
      <c r="Q45" s="310"/>
      <c r="R45" s="310"/>
      <c r="S45" s="310"/>
      <c r="T45" s="310"/>
    </row>
    <row r="46" spans="1:27" ht="15" customHeight="1"/>
    <row r="47" spans="1:27" ht="34.5" customHeight="1">
      <c r="A47" s="544"/>
      <c r="B47" s="544"/>
      <c r="C47" s="544"/>
      <c r="D47" s="544"/>
      <c r="E47" s="544"/>
      <c r="F47" s="1340" t="s">
        <v>1415</v>
      </c>
      <c r="G47" s="1341"/>
      <c r="H47" s="1341"/>
      <c r="I47" s="1342"/>
      <c r="J47" s="1340" t="s">
        <v>1745</v>
      </c>
      <c r="K47" s="1341"/>
      <c r="L47" s="1342"/>
      <c r="M47" s="1340" t="s">
        <v>181</v>
      </c>
      <c r="N47" s="1341"/>
      <c r="O47" s="1342"/>
      <c r="P47" s="1340" t="s">
        <v>1416</v>
      </c>
      <c r="Q47" s="1341"/>
      <c r="R47" s="1342"/>
      <c r="S47" s="310"/>
    </row>
    <row r="48" spans="1:27">
      <c r="A48" s="1352" t="str">
        <f>$H$41</f>
        <v>Nouvelle-Aquitaine</v>
      </c>
      <c r="B48" s="1353"/>
      <c r="C48" s="1353"/>
      <c r="D48" s="1353"/>
      <c r="E48" s="1354"/>
      <c r="F48" s="1325">
        <f>VLOOKUP($H$41,'D_Ch6-2'!$A$26:$J$36,MATCH("Nombre de publications",'D_Ch6-2'!$A$26:$J$26,0),FALSE)</f>
        <v>2934.6168691800003</v>
      </c>
      <c r="G48" s="1326"/>
      <c r="H48" s="1326"/>
      <c r="I48" s="1327"/>
      <c r="J48" s="1349">
        <f>VLOOKUP($H$41,'D_Ch6-2'!$A$26:$J$36,MATCH("Nb publications pour 10000 emplois",'D_Ch6-2'!$A$26:$J$26,0),FALSE)</f>
        <v>12.558808872255746</v>
      </c>
      <c r="K48" s="1350"/>
      <c r="L48" s="1351"/>
      <c r="M48" s="1325">
        <f>VLOOKUP($H$41,'D_Ch6-2'!$A$26:$L$36,MATCH("Rang publication",'D_Ch6-2'!$A$26:$L$26,0),FALSE)</f>
        <v>6</v>
      </c>
      <c r="N48" s="1326"/>
      <c r="O48" s="1327"/>
      <c r="P48" s="1343">
        <f>VLOOKUP($H$41,'D_Ch6-2'!$A$26:$L$36,MATCH("Evolution N-2 / N-1",'D_Ch6-2'!$A$26:$L$26,0),FALSE)</f>
        <v>-2.6338132322494916E-2</v>
      </c>
      <c r="Q48" s="1344"/>
      <c r="R48" s="1345"/>
      <c r="S48" s="310"/>
    </row>
    <row r="49" spans="1:21">
      <c r="A49" s="1355" t="str">
        <f>$O$41</f>
        <v>Occitanie</v>
      </c>
      <c r="B49" s="1356"/>
      <c r="C49" s="1356"/>
      <c r="D49" s="1356"/>
      <c r="E49" s="1357"/>
      <c r="F49" s="1325">
        <f>VLOOKUP($O$41,'D_Ch6-2'!$A$26:$J$36,MATCH("Nombre de publications",'D_Ch6-2'!$A$26:$J$26,0),FALSE)</f>
        <v>5310.1198395000001</v>
      </c>
      <c r="G49" s="1326"/>
      <c r="H49" s="1326"/>
      <c r="I49" s="1327"/>
      <c r="J49" s="1358">
        <f>VLOOKUP($O$41,'D_Ch6-2'!$A$26:$J$36,MATCH("Nb publications pour 10000 emplois",'D_Ch6-2'!$A$26:$J$26,0),FALSE)</f>
        <v>24.407610955598457</v>
      </c>
      <c r="K49" s="1359"/>
      <c r="L49" s="1360"/>
      <c r="M49" s="1325">
        <f>VLOOKUP($O$41,'D_Ch6-2'!$A$26:$L$36,MATCH("Rang publication",'D_Ch6-2'!$A$26:$L$26,0),FALSE)</f>
        <v>3</v>
      </c>
      <c r="N49" s="1326"/>
      <c r="O49" s="1327"/>
      <c r="P49" s="1343">
        <f>VLOOKUP($O$41,'D_Ch6-2'!$A$26:$L$36,MATCH("Evolution N-2 / N-1",'D_Ch6-2'!$A$26:$L$26,0),FALSE)</f>
        <v>5.9269866247755862E-2</v>
      </c>
      <c r="Q49" s="1344"/>
      <c r="R49" s="1345"/>
      <c r="S49" s="310"/>
    </row>
    <row r="50" spans="1:21">
      <c r="P50" s="310"/>
      <c r="Q50" s="310"/>
      <c r="R50" s="310"/>
      <c r="S50" s="310"/>
    </row>
    <row r="51" spans="1:21" s="198" customFormat="1" ht="15" customHeight="1">
      <c r="A51" s="324"/>
      <c r="B51" s="427"/>
      <c r="C51" s="428"/>
      <c r="D51" s="428"/>
      <c r="E51" s="428"/>
      <c r="F51" s="1105" t="s">
        <v>1039</v>
      </c>
      <c r="G51" s="1105"/>
      <c r="H51" s="1105"/>
      <c r="I51" s="1105"/>
      <c r="J51" s="1105"/>
      <c r="K51" s="1105"/>
      <c r="L51" s="1105"/>
      <c r="M51" s="1105"/>
      <c r="N51" s="1105"/>
      <c r="O51" s="1105"/>
      <c r="P51" s="1105"/>
      <c r="Q51" s="1105"/>
      <c r="R51" s="1105"/>
      <c r="S51" s="1105"/>
      <c r="T51" s="1105"/>
      <c r="U51" s="593"/>
    </row>
    <row r="52" spans="1:21" s="198" customFormat="1" ht="12.75" customHeight="1">
      <c r="A52" s="429"/>
      <c r="B52" s="428"/>
      <c r="C52" s="428"/>
      <c r="D52" s="428"/>
      <c r="E52" s="428"/>
      <c r="F52" s="1105"/>
      <c r="G52" s="1105"/>
      <c r="H52" s="1105"/>
      <c r="I52" s="1105"/>
      <c r="J52" s="1105"/>
      <c r="K52" s="1105"/>
      <c r="L52" s="1105"/>
      <c r="M52" s="1105"/>
      <c r="N52" s="1105"/>
      <c r="O52" s="1105"/>
      <c r="P52" s="1105"/>
      <c r="Q52" s="1105"/>
      <c r="R52" s="1105"/>
      <c r="S52" s="1105"/>
      <c r="T52" s="1105"/>
      <c r="U52" s="593"/>
    </row>
    <row r="53" spans="1:21" s="198" customFormat="1" ht="15" customHeight="1">
      <c r="A53" s="430"/>
      <c r="B53" s="428"/>
      <c r="C53" s="428"/>
      <c r="D53" s="428"/>
      <c r="E53" s="428"/>
      <c r="F53" s="1105"/>
      <c r="G53" s="1105"/>
      <c r="H53" s="1105"/>
      <c r="I53" s="1105"/>
      <c r="J53" s="1105"/>
      <c r="K53" s="1105"/>
      <c r="L53" s="1105"/>
      <c r="M53" s="1105"/>
      <c r="N53" s="1105"/>
      <c r="O53" s="1105"/>
      <c r="P53" s="1105"/>
      <c r="Q53" s="1105"/>
      <c r="R53" s="1105"/>
      <c r="S53" s="1105"/>
      <c r="T53" s="1105"/>
      <c r="U53" s="593"/>
    </row>
    <row r="54" spans="1:21" customFormat="1" ht="12.75" customHeight="1">
      <c r="F54" s="1105"/>
      <c r="G54" s="1105"/>
      <c r="H54" s="1105"/>
      <c r="I54" s="1105"/>
      <c r="J54" s="1105"/>
      <c r="K54" s="1105"/>
      <c r="L54" s="1105"/>
      <c r="M54" s="1105"/>
      <c r="N54" s="1105"/>
      <c r="O54" s="1105"/>
      <c r="P54" s="1105"/>
      <c r="Q54" s="1105"/>
      <c r="R54" s="1105"/>
      <c r="S54" s="1105"/>
      <c r="T54" s="1105"/>
    </row>
    <row r="55" spans="1:21" customFormat="1" ht="5.25" customHeight="1"/>
    <row r="56" spans="1:21" s="198" customFormat="1" ht="15" customHeight="1">
      <c r="A56" s="1102" t="s">
        <v>1489</v>
      </c>
      <c r="B56" s="1102"/>
      <c r="C56" s="1102"/>
      <c r="D56" s="1102"/>
      <c r="E56" s="1102"/>
      <c r="F56" s="1102"/>
      <c r="G56" s="1102"/>
      <c r="H56" s="1102"/>
      <c r="I56" s="1102"/>
      <c r="J56" s="1102"/>
      <c r="K56" s="1102"/>
      <c r="L56" s="1102"/>
      <c r="M56" s="1102"/>
      <c r="N56" s="1102"/>
      <c r="O56" s="1102"/>
      <c r="P56" s="1102"/>
      <c r="Q56" s="1102"/>
      <c r="R56" s="1102"/>
      <c r="S56" s="1102"/>
      <c r="T56" s="1102"/>
      <c r="U56" s="784"/>
    </row>
    <row r="57" spans="1:21" s="198" customFormat="1" ht="15" customHeight="1">
      <c r="A57" s="1102"/>
      <c r="B57" s="1102"/>
      <c r="C57" s="1102"/>
      <c r="D57" s="1102"/>
      <c r="E57" s="1102"/>
      <c r="F57" s="1102"/>
      <c r="G57" s="1102"/>
      <c r="H57" s="1102"/>
      <c r="I57" s="1102"/>
      <c r="J57" s="1102"/>
      <c r="K57" s="1102"/>
      <c r="L57" s="1102"/>
      <c r="M57" s="1102"/>
      <c r="N57" s="1102"/>
      <c r="O57" s="1102"/>
      <c r="P57" s="1102"/>
      <c r="Q57" s="1102"/>
      <c r="R57" s="1102"/>
      <c r="S57" s="1102"/>
      <c r="T57" s="1102"/>
      <c r="U57" s="784"/>
    </row>
    <row r="58" spans="1:21" s="213" customFormat="1" ht="15" customHeight="1" thickBot="1">
      <c r="A58" s="409"/>
      <c r="B58" s="409"/>
      <c r="C58" s="409"/>
      <c r="D58" s="409"/>
      <c r="E58" s="409"/>
      <c r="F58" s="409"/>
      <c r="G58" s="409"/>
      <c r="H58" s="409"/>
      <c r="I58" s="409"/>
      <c r="J58" s="409"/>
      <c r="K58" s="409"/>
      <c r="L58" s="409"/>
      <c r="M58" s="409"/>
      <c r="N58" s="409"/>
      <c r="O58" s="409"/>
      <c r="P58" s="409"/>
      <c r="Q58" s="409"/>
      <c r="R58" s="409"/>
      <c r="S58" s="409"/>
      <c r="T58" s="409"/>
    </row>
    <row r="59" spans="1:21" ht="16.5" thickTop="1" thickBot="1">
      <c r="A59" s="1011" t="s">
        <v>1077</v>
      </c>
      <c r="B59" s="1012"/>
      <c r="C59" s="1013"/>
      <c r="G59" s="552"/>
      <c r="H59" s="1361" t="s">
        <v>61</v>
      </c>
      <c r="I59" s="1362"/>
      <c r="J59" s="1362"/>
      <c r="K59" s="1362"/>
      <c r="L59" s="1362"/>
      <c r="M59" s="1363"/>
      <c r="N59" s="552"/>
      <c r="O59" s="1364" t="s">
        <v>32</v>
      </c>
      <c r="P59" s="1365"/>
      <c r="Q59" s="1365"/>
      <c r="R59" s="1365"/>
      <c r="S59" s="1366"/>
    </row>
    <row r="60" spans="1:21" ht="15.75" thickTop="1"/>
    <row r="61" spans="1:21" s="271" customFormat="1" ht="45" customHeight="1">
      <c r="A61" s="546"/>
      <c r="B61" s="546"/>
      <c r="C61" s="546"/>
      <c r="D61" s="546"/>
      <c r="E61" s="546"/>
      <c r="F61" s="1367" t="s">
        <v>1690</v>
      </c>
      <c r="G61" s="1368"/>
      <c r="H61" s="1369" t="s">
        <v>1691</v>
      </c>
      <c r="I61" s="1370"/>
      <c r="J61" s="862" t="s">
        <v>1199</v>
      </c>
      <c r="K61" s="1367" t="s">
        <v>1778</v>
      </c>
      <c r="L61" s="1368"/>
      <c r="M61" s="1369" t="s">
        <v>1691</v>
      </c>
      <c r="N61" s="1370"/>
      <c r="O61" s="862" t="s">
        <v>1199</v>
      </c>
      <c r="P61" s="1367" t="s">
        <v>1692</v>
      </c>
      <c r="Q61" s="1368"/>
      <c r="R61" s="1369" t="s">
        <v>1693</v>
      </c>
      <c r="S61" s="1371"/>
      <c r="T61" s="862" t="s">
        <v>1199</v>
      </c>
    </row>
    <row r="62" spans="1:21" s="216" customFormat="1" ht="18" customHeight="1">
      <c r="A62" s="1177" t="str">
        <f>H59</f>
        <v>AU Bordeaux</v>
      </c>
      <c r="B62" s="1177"/>
      <c r="C62" s="1177"/>
      <c r="D62" s="1177"/>
      <c r="E62" s="1177"/>
      <c r="F62" s="1271">
        <f>VLOOKUP($H$59,'D_Ch6-3'!$B$5:$W$40,MATCH("emplois créatifs",'D_Ch6-3'!$B$5:$X$5,0),FALSE)</f>
        <v>29311</v>
      </c>
      <c r="G62" s="1273"/>
      <c r="H62" s="1383">
        <f>VLOOKUP($H$59,'D_Ch6-3'!$B$5:$W$40,MATCH("Part ds total sal privé",'D_Ch6-3'!$B$5:$X$5,0),FALSE)</f>
        <v>8.136203900581257E-2</v>
      </c>
      <c r="I62" s="1384"/>
      <c r="J62" s="872">
        <f>VLOOKUP($H$59,'D_Ch6-3'!$B$5:$W$40,MATCH("Rang Emploi Créat",'D_Ch6-3'!$B$5:$X$5,0),FALSE)</f>
        <v>10</v>
      </c>
      <c r="K62" s="1385">
        <f>VLOOKUP($H$59,'D_Ch6-3'!$B$5:$W$40,MATCH("Emploi HT",'D_Ch6-3'!$B$5:$X$5,0),FALSE)</f>
        <v>10372</v>
      </c>
      <c r="L62" s="1273"/>
      <c r="M62" s="1383">
        <f>VLOOKUP($H$59,'D_Ch6-3'!$B$5:$W$40,MATCH("Part HT ds total sal privé",'D_Ch6-3'!$B$5:$X$5,0),FALSE)</f>
        <v>2.8790797603912795E-2</v>
      </c>
      <c r="N62" s="1384"/>
      <c r="O62" s="872">
        <f>VLOOKUP($H$59,'D_Ch6-3'!$B$5:$W$40,MATCH("Rang Emploi HT",'D_Ch6-3'!$B$5:$X$5,0),FALSE)</f>
        <v>4</v>
      </c>
      <c r="P62" s="1385">
        <f>VLOOKUP($H$59,'D_Ch6-3'!$B$5:$W$40,MATCH("Emplois CFM n-1",'D_Ch6-3'!$B$5:$X$5,0),FALSE)</f>
        <v>57055.88963845931</v>
      </c>
      <c r="Q62" s="1273"/>
      <c r="R62" s="1383">
        <f>VLOOKUP($H$59,'D_Ch6-3'!$B$5:$W$40,MATCH("Part CFM ds total RRP",'D_Ch6-3'!$B$5:$X$5,0),FALSE)</f>
        <v>0.11028727064476261</v>
      </c>
      <c r="S62" s="1386"/>
      <c r="T62" s="872">
        <f>VLOOKUP($H$59,'D_Ch6-3'!$B$5:$W$40,MATCH("Rang Emplois CFM",'D_Ch6-3'!$B$5:$X$5,0),FALSE)</f>
        <v>9</v>
      </c>
    </row>
    <row r="63" spans="1:21" s="216" customFormat="1" ht="16.5" customHeight="1">
      <c r="A63" s="1178" t="str">
        <f>O59</f>
        <v>AU Toulouse</v>
      </c>
      <c r="B63" s="1178"/>
      <c r="C63" s="1178"/>
      <c r="D63" s="1178"/>
      <c r="E63" s="1178"/>
      <c r="F63" s="1271">
        <f>VLOOKUP($O$59,'D_Ch6-3'!$B$5:$W$40,MATCH("emplois créatifs",'D_Ch6-3'!$B$5:$X$5,0),FALSE)</f>
        <v>60092</v>
      </c>
      <c r="G63" s="1273"/>
      <c r="H63" s="1383">
        <f>VLOOKUP($O$59,'D_Ch6-3'!$B$5:$W$40,MATCH("Part ds total sal privé",'D_Ch6-3'!$B$5:$X$5,0),FALSE)</f>
        <v>0.14085140893599665</v>
      </c>
      <c r="I63" s="1384"/>
      <c r="J63" s="872">
        <f>VLOOKUP($O$59,'D_Ch6-3'!$B$5:$W$40,MATCH("Rang Emploi Créat",'D_Ch6-3'!$B$5:$X$5,0),FALSE)</f>
        <v>1</v>
      </c>
      <c r="K63" s="1385">
        <f>VLOOKUP($O$59,'D_Ch6-3'!$B$5:$W$40,MATCH("Emploi HT",'D_Ch6-3'!$B$5:$X$5,0),FALSE)</f>
        <v>38793</v>
      </c>
      <c r="L63" s="1273"/>
      <c r="M63" s="1383">
        <f>VLOOKUP($O$59,'D_Ch6-3'!$B$5:$W$40,MATCH("Part HT ds total sal privé",'D_Ch6-3'!$B$5:$X$5,0),FALSE)</f>
        <v>9.0928055429243801E-2</v>
      </c>
      <c r="N63" s="1384"/>
      <c r="O63" s="872">
        <f>VLOOKUP($O$59,'D_Ch6-3'!$B$5:$W$40,MATCH("Rang Emploi HT",'D_Ch6-3'!$B$5:$X$5,0),FALSE)</f>
        <v>1</v>
      </c>
      <c r="P63" s="1385">
        <f>VLOOKUP($O$59,'D_Ch6-3'!$B$5:$W$40,MATCH("Emplois CFM n-1",'D_Ch6-3'!$B$5:$X$5,0),FALSE)</f>
        <v>94199.393336281166</v>
      </c>
      <c r="Q63" s="1273"/>
      <c r="R63" s="1383">
        <f>VLOOKUP($O$59,'D_Ch6-3'!$B$5:$W$40,MATCH("Part CFM ds total RRP",'D_Ch6-3'!$B$5:$X$5,0),FALSE)</f>
        <v>0.15921728307272498</v>
      </c>
      <c r="S63" s="1386"/>
      <c r="T63" s="872">
        <f>VLOOKUP($O$59,'D_Ch6-3'!$B$5:$W$40,MATCH("Rang Emplois CFM",'D_Ch6-3'!$B$5:$X$5,0),FALSE)</f>
        <v>1</v>
      </c>
    </row>
    <row r="64" spans="1:21"/>
    <row r="65" spans="1:20"/>
    <row r="66" spans="1:20">
      <c r="A66" s="856" t="s">
        <v>1689</v>
      </c>
      <c r="B66" s="856"/>
      <c r="C66" s="856"/>
      <c r="D66" s="856"/>
      <c r="E66" s="856"/>
      <c r="F66" s="856"/>
      <c r="G66" s="856"/>
      <c r="H66" s="856"/>
      <c r="I66" s="856"/>
      <c r="J66" s="856"/>
      <c r="K66" s="856"/>
      <c r="L66" s="856"/>
      <c r="M66" s="856"/>
      <c r="N66" s="856"/>
      <c r="O66" s="856"/>
      <c r="P66" s="856"/>
      <c r="Q66" s="535"/>
      <c r="R66" s="535"/>
    </row>
    <row r="67" spans="1:20" ht="8.25" customHeight="1" thickBot="1">
      <c r="A67" s="412"/>
    </row>
    <row r="68" spans="1:20" ht="16.5" thickTop="1" thickBot="1">
      <c r="A68" s="1376" t="s">
        <v>61</v>
      </c>
      <c r="B68" s="1379"/>
      <c r="C68" s="1380"/>
      <c r="D68" s="552"/>
      <c r="E68" s="1376" t="s">
        <v>32</v>
      </c>
      <c r="F68" s="1379"/>
      <c r="G68" s="1380"/>
      <c r="H68" s="552"/>
      <c r="I68" s="1376" t="s">
        <v>29</v>
      </c>
      <c r="J68" s="1379"/>
      <c r="K68" s="1380"/>
      <c r="L68" s="552"/>
      <c r="M68" s="1376" t="s">
        <v>37</v>
      </c>
      <c r="N68" s="1379"/>
      <c r="O68" s="1380"/>
      <c r="P68" s="552"/>
      <c r="Q68" s="1372" t="s">
        <v>39</v>
      </c>
      <c r="R68" s="1381"/>
      <c r="S68" s="1382"/>
      <c r="T68" s="552"/>
    </row>
    <row r="69" spans="1:20" s="258" customFormat="1" ht="16.5" thickTop="1" thickBot="1">
      <c r="A69" s="552"/>
      <c r="B69" s="1376" t="s">
        <v>41</v>
      </c>
      <c r="C69" s="1377"/>
      <c r="D69" s="1378"/>
      <c r="E69" s="552"/>
      <c r="F69" s="1376" t="s">
        <v>43</v>
      </c>
      <c r="G69" s="1377"/>
      <c r="H69" s="1378"/>
      <c r="I69" s="552"/>
      <c r="J69" s="1376" t="s">
        <v>47</v>
      </c>
      <c r="K69" s="1377"/>
      <c r="L69" s="1378"/>
      <c r="M69" s="552"/>
      <c r="N69" s="1376" t="s">
        <v>64</v>
      </c>
      <c r="O69" s="1377"/>
      <c r="P69" s="1378"/>
      <c r="Q69" s="552"/>
      <c r="R69" s="1376" t="s">
        <v>411</v>
      </c>
      <c r="S69" s="1377"/>
      <c r="T69" s="1378"/>
    </row>
    <row r="70" spans="1:20" ht="15.75" thickTop="1">
      <c r="A70" s="633"/>
      <c r="B70" s="633"/>
      <c r="C70" s="633"/>
      <c r="D70" s="633"/>
      <c r="E70" s="633"/>
      <c r="F70" s="633"/>
      <c r="G70" s="633"/>
      <c r="H70" s="633"/>
      <c r="I70" s="633"/>
      <c r="J70" s="633"/>
      <c r="K70" s="633"/>
      <c r="L70" s="633"/>
      <c r="M70" s="633"/>
      <c r="N70" s="633"/>
      <c r="O70" s="633"/>
      <c r="P70" s="633"/>
      <c r="Q70" s="633"/>
      <c r="R70" s="633"/>
      <c r="S70" s="633"/>
      <c r="T70" s="633"/>
    </row>
    <row r="71" spans="1:20">
      <c r="A71" s="547"/>
      <c r="B71" s="515" t="s">
        <v>521</v>
      </c>
      <c r="C71" s="515" t="s">
        <v>522</v>
      </c>
      <c r="D71" s="515" t="s">
        <v>1269</v>
      </c>
      <c r="E71" s="515" t="s">
        <v>524</v>
      </c>
      <c r="F71" s="515" t="s">
        <v>525</v>
      </c>
      <c r="G71" s="547"/>
      <c r="H71" s="633"/>
      <c r="I71" s="633"/>
      <c r="J71" s="633"/>
      <c r="K71" s="633"/>
      <c r="L71" s="633"/>
      <c r="M71" s="633"/>
      <c r="N71" s="633"/>
      <c r="O71" s="633"/>
      <c r="P71" s="633"/>
      <c r="Q71" s="633"/>
      <c r="R71" s="633"/>
      <c r="S71" s="633"/>
      <c r="T71" s="633"/>
    </row>
    <row r="72" spans="1:20">
      <c r="A72" s="548" t="str">
        <f>$A$68</f>
        <v>AU Bordeaux</v>
      </c>
      <c r="B72" s="882">
        <f>VLOOKUP($A$68,'D_Ch6-3'!$B$5:$W$40,MATCH("Commerce Inter-entrep.",'D_Ch6-3'!$B$5:$X$5,0),FALSE)</f>
        <v>6663.4096204328471</v>
      </c>
      <c r="C72" s="882">
        <f>VLOOKUP($A$68,'D_Ch6-3'!$B$5:$W$40,MATCH("Concept.Recherche",'D_Ch6-3'!$B$5:$X$5,0),FALSE)</f>
        <v>12874.920053120395</v>
      </c>
      <c r="D72" s="882">
        <f>VLOOKUP($A$68,'D_Ch6-3'!$B$5:$W$40,MATCH("Culture Loisir",'D_Ch6-3'!$B$5:$X$5,0),FALSE)</f>
        <v>5325.8513120208099</v>
      </c>
      <c r="E72" s="882">
        <f>VLOOKUP($A$68,'D_Ch6-3'!$B$5:$W$40,MATCH("Gestion",'D_Ch6-3'!$B$5:$X$5,0),FALSE)</f>
        <v>20545.723447411914</v>
      </c>
      <c r="F72" s="882">
        <f>VLOOKUP($A$68,'D_Ch6-3'!$B$5:$W$40,MATCH("Prest. Intellect.",'D_Ch6-3'!$B$5:$X$5,0),FALSE)</f>
        <v>11645.985205473346</v>
      </c>
      <c r="G72" s="634"/>
      <c r="H72" s="881"/>
      <c r="I72" s="881"/>
      <c r="J72" s="881"/>
      <c r="K72" s="881"/>
      <c r="L72" s="881"/>
      <c r="M72" s="881"/>
      <c r="N72" s="881"/>
      <c r="O72" s="881"/>
      <c r="P72" s="881"/>
      <c r="Q72" s="881"/>
      <c r="R72" s="633"/>
      <c r="S72" s="633"/>
      <c r="T72" s="633"/>
    </row>
    <row r="73" spans="1:20">
      <c r="A73" s="548" t="str">
        <f>$B$69</f>
        <v>AU Strasbourg</v>
      </c>
      <c r="B73" s="882">
        <f>VLOOKUP($B$69,'D_Ch6-3'!$B$5:$W$40,MATCH("Commerce Inter-entrep.",'D_Ch6-3'!$B$5:$X$5,0),FALSE)</f>
        <v>4600.2361952514448</v>
      </c>
      <c r="C73" s="882">
        <f>VLOOKUP($B$69,'D_Ch6-3'!$B$5:$W$40,MATCH("Concept.Recherche",'D_Ch6-3'!$B$5:$X$5,0),FALSE)</f>
        <v>8504.3467745164471</v>
      </c>
      <c r="D73" s="882">
        <f>VLOOKUP($B$69,'D_Ch6-3'!$B$5:$W$40,MATCH("Culture Loisir",'D_Ch6-3'!$B$5:$X$5,0),FALSE)</f>
        <v>3490.6221624223908</v>
      </c>
      <c r="E73" s="882">
        <f>VLOOKUP($B$69,'D_Ch6-3'!$B$5:$W$40,MATCH("Gestion",'D_Ch6-3'!$B$5:$X$5,0),FALSE)</f>
        <v>13886.998130049973</v>
      </c>
      <c r="F73" s="882">
        <f>VLOOKUP($B$69,'D_Ch6-3'!$B$5:$W$40,MATCH("Prest. Intellect.",'D_Ch6-3'!$B$5:$X$5,0),FALSE)</f>
        <v>6946.693148602104</v>
      </c>
      <c r="G73" s="547"/>
      <c r="H73" s="633"/>
      <c r="I73" s="633"/>
      <c r="J73" s="633"/>
      <c r="K73" s="633"/>
      <c r="L73" s="633"/>
      <c r="M73" s="633"/>
      <c r="N73" s="633"/>
      <c r="O73" s="633"/>
      <c r="P73" s="633"/>
      <c r="Q73" s="633"/>
      <c r="R73" s="633"/>
      <c r="S73" s="633"/>
      <c r="T73" s="633"/>
    </row>
    <row r="74" spans="1:20">
      <c r="A74" s="548" t="str">
        <f>$E$68</f>
        <v>AU Toulouse</v>
      </c>
      <c r="B74" s="882">
        <f>VLOOKUP($E$68,'D_Ch6-3'!$B$5:$W$40,MATCH("Commerce Inter-entrep.",'D_Ch6-3'!$B$5:$X$5,0),FALSE)</f>
        <v>8882.5505699749847</v>
      </c>
      <c r="C74" s="882">
        <f>VLOOKUP($E$68,'D_Ch6-3'!$B$5:$W$40,MATCH("Concept.Recherche",'D_Ch6-3'!$B$5:$X$5,0),FALSE)</f>
        <v>35427.318158646696</v>
      </c>
      <c r="D74" s="882">
        <f>VLOOKUP($E$68,'D_Ch6-3'!$B$5:$W$40,MATCH("Culture Loisir",'D_Ch6-3'!$B$5:$X$5,0),FALSE)</f>
        <v>7163.742602221987</v>
      </c>
      <c r="E74" s="882">
        <f>VLOOKUP($E$68,'D_Ch6-3'!$B$5:$W$40,MATCH("Gestion",'D_Ch6-3'!$B$5:$X$5,0),FALSE)</f>
        <v>24878.225191971516</v>
      </c>
      <c r="F74" s="882">
        <f>VLOOKUP($E$68,'D_Ch6-3'!$B$5:$W$40,MATCH("Prest. Intellect.",'D_Ch6-3'!$B$5:$X$5,0),FALSE)</f>
        <v>17847.556813465988</v>
      </c>
      <c r="G74" s="547"/>
      <c r="H74" s="633"/>
      <c r="I74" s="633"/>
      <c r="J74" s="633"/>
      <c r="K74" s="633"/>
      <c r="L74" s="633"/>
      <c r="M74" s="633"/>
      <c r="N74" s="633"/>
      <c r="O74" s="633"/>
      <c r="P74" s="633"/>
      <c r="Q74" s="633"/>
      <c r="R74" s="633"/>
      <c r="S74" s="633"/>
      <c r="T74" s="633"/>
    </row>
    <row r="75" spans="1:20">
      <c r="A75" s="548" t="str">
        <f>$F$69</f>
        <v>AU Grenoble</v>
      </c>
      <c r="B75" s="882">
        <f>VLOOKUP($F$69,'D_Ch6-3'!$B$5:$W$40,MATCH("Commerce Inter-entrep.",'D_Ch6-3'!$B$5:$X$5,0),FALSE)</f>
        <v>4773.4199632869941</v>
      </c>
      <c r="C75" s="882">
        <f>VLOOKUP($F$69,'D_Ch6-3'!$B$5:$W$40,MATCH("Concept.Recherche",'D_Ch6-3'!$B$5:$X$5,0),FALSE)</f>
        <v>18271.243618508943</v>
      </c>
      <c r="D75" s="882">
        <f>VLOOKUP($F$69,'D_Ch6-3'!$B$5:$W$40,MATCH("Culture Loisir",'D_Ch6-3'!$B$5:$X$5,0),FALSE)</f>
        <v>2900.7926237888487</v>
      </c>
      <c r="E75" s="882">
        <f>VLOOKUP($F$69,'D_Ch6-3'!$B$5:$W$40,MATCH("Gestion",'D_Ch6-3'!$B$5:$X$5,0),FALSE)</f>
        <v>12186.413902606992</v>
      </c>
      <c r="F75" s="882">
        <f>VLOOKUP($F$69,'D_Ch6-3'!$B$5:$W$40,MATCH("Prest. Intellect.",'D_Ch6-3'!$B$5:$X$5,0),FALSE)</f>
        <v>7907.992987844229</v>
      </c>
      <c r="G75" s="547"/>
      <c r="H75" s="633"/>
      <c r="I75" s="633"/>
      <c r="J75" s="633"/>
      <c r="K75" s="633"/>
      <c r="L75" s="633"/>
      <c r="M75" s="633"/>
      <c r="N75" s="633"/>
      <c r="O75" s="633"/>
      <c r="P75" s="633"/>
      <c r="Q75" s="633"/>
      <c r="R75" s="633"/>
      <c r="S75" s="633"/>
      <c r="T75" s="633"/>
    </row>
    <row r="76" spans="1:20">
      <c r="A76" s="548" t="str">
        <f>$I$68</f>
        <v>AU Lyon</v>
      </c>
      <c r="B76" s="882">
        <f>VLOOKUP($I$68,'D_Ch6-3'!$B$5:$W$40,MATCH("Commerce Inter-entrep.",'D_Ch6-3'!$B$5:$X$5,0),FALSE)</f>
        <v>19608.347274480624</v>
      </c>
      <c r="C76" s="882">
        <f>VLOOKUP($I$68,'D_Ch6-3'!$B$5:$W$40,MATCH("Concept.Recherche",'D_Ch6-3'!$B$5:$X$5,0),FALSE)</f>
        <v>31625.504935340457</v>
      </c>
      <c r="D76" s="882">
        <f>VLOOKUP($I$68,'D_Ch6-3'!$B$5:$W$40,MATCH("Culture Loisir",'D_Ch6-3'!$B$5:$X$5,0),FALSE)</f>
        <v>10749.467621285761</v>
      </c>
      <c r="E76" s="882">
        <f>VLOOKUP($I$68,'D_Ch6-3'!$B$5:$W$40,MATCH("Gestion",'D_Ch6-3'!$B$5:$X$5,0),FALSE)</f>
        <v>50055.300177155339</v>
      </c>
      <c r="F76" s="882">
        <f>VLOOKUP($I$68,'D_Ch6-3'!$B$5:$W$40,MATCH("Prest. Intellect.",'D_Ch6-3'!$B$5:$X$5,0),FALSE)</f>
        <v>27374.876741573396</v>
      </c>
      <c r="G76" s="547"/>
      <c r="H76" s="633"/>
      <c r="I76" s="633"/>
      <c r="J76" s="633"/>
      <c r="K76" s="633"/>
      <c r="L76" s="633"/>
      <c r="M76" s="633"/>
      <c r="N76" s="633"/>
      <c r="O76" s="633"/>
      <c r="P76" s="633"/>
      <c r="Q76" s="633"/>
      <c r="R76" s="633"/>
      <c r="S76" s="633"/>
      <c r="T76" s="633"/>
    </row>
    <row r="77" spans="1:20">
      <c r="A77" s="548" t="str">
        <f>$J$69</f>
        <v>AU Rouen</v>
      </c>
      <c r="B77" s="882">
        <f>VLOOKUP($J$69,'D_Ch6-3'!$B$5:$W$40,MATCH("Commerce Inter-entrep.",'D_Ch6-3'!$B$5:$X$5,0),FALSE)</f>
        <v>2205.4936151512547</v>
      </c>
      <c r="C77" s="882">
        <f>VLOOKUP($J$69,'D_Ch6-3'!$B$5:$W$40,MATCH("Concept.Recherche",'D_Ch6-3'!$B$5:$X$5,0),FALSE)</f>
        <v>2589.3777538546337</v>
      </c>
      <c r="D77" s="882">
        <f>VLOOKUP($J$69,'D_Ch6-3'!$B$5:$W$40,MATCH("Culture Loisir",'D_Ch6-3'!$B$5:$X$5,0),FALSE)</f>
        <v>2133.1422065496472</v>
      </c>
      <c r="E77" s="882">
        <f>VLOOKUP($J$69,'D_Ch6-3'!$B$5:$W$40,MATCH("Gestion",'D_Ch6-3'!$B$5:$X$5,0),FALSE)</f>
        <v>9476.9673998041199</v>
      </c>
      <c r="F77" s="882">
        <f>VLOOKUP($J$69,'D_Ch6-3'!$B$5:$W$40,MATCH("Prest. Intellect.",'D_Ch6-3'!$B$5:$X$5,0),FALSE)</f>
        <v>3299.9459474108057</v>
      </c>
      <c r="G77" s="547"/>
      <c r="H77" s="633"/>
      <c r="I77" s="633"/>
      <c r="J77" s="633"/>
      <c r="K77" s="633"/>
      <c r="L77" s="633"/>
      <c r="M77" s="633"/>
      <c r="N77" s="633"/>
      <c r="O77" s="633"/>
      <c r="P77" s="633"/>
      <c r="Q77" s="633"/>
      <c r="R77" s="633"/>
      <c r="S77" s="633"/>
      <c r="T77" s="633"/>
    </row>
    <row r="78" spans="1:20">
      <c r="A78" s="548" t="str">
        <f>$M$68</f>
        <v>AU Nice</v>
      </c>
      <c r="B78" s="882">
        <f>VLOOKUP($M$68,'D_Ch6-3'!$B$5:$W$40,MATCH("Commerce Inter-entrep.",'D_Ch6-3'!$B$5:$X$5,0),FALSE)</f>
        <v>3440.4349507718985</v>
      </c>
      <c r="C78" s="882">
        <f>VLOOKUP($M$68,'D_Ch6-3'!$B$5:$W$40,MATCH("Concept.Recherche",'D_Ch6-3'!$B$5:$X$5,0),FALSE)</f>
        <v>11740.393133518906</v>
      </c>
      <c r="D78" s="882">
        <f>VLOOKUP($M$68,'D_Ch6-3'!$B$5:$W$40,MATCH("Culture Loisir",'D_Ch6-3'!$B$5:$X$5,0),FALSE)</f>
        <v>4310.0106048505386</v>
      </c>
      <c r="E78" s="882">
        <f>VLOOKUP($M$68,'D_Ch6-3'!$B$5:$W$40,MATCH("Gestion",'D_Ch6-3'!$B$5:$X$5,0),FALSE)</f>
        <v>14186.260305559361</v>
      </c>
      <c r="F78" s="882">
        <f>VLOOKUP($M$68,'D_Ch6-3'!$B$5:$W$40,MATCH("Prest. Intellect.",'D_Ch6-3'!$B$5:$X$5,0),FALSE)</f>
        <v>9417.2473211986271</v>
      </c>
      <c r="G78" s="547"/>
      <c r="H78" s="633"/>
      <c r="I78" s="633"/>
      <c r="J78" s="633"/>
      <c r="K78" s="633"/>
      <c r="L78" s="633"/>
      <c r="M78" s="633"/>
      <c r="N78" s="633"/>
      <c r="O78" s="633"/>
      <c r="P78" s="633"/>
      <c r="Q78" s="633"/>
      <c r="R78" s="633"/>
      <c r="S78" s="633"/>
      <c r="T78" s="633"/>
    </row>
    <row r="79" spans="1:20">
      <c r="A79" s="548" t="str">
        <f>$N$69</f>
        <v>AU Douai - Lens</v>
      </c>
      <c r="B79" s="882">
        <f>VLOOKUP($N$69,'D_Ch6-3'!$B$5:$W$40,MATCH("Commerce Inter-entrep.",'D_Ch6-3'!$B$5:$X$5,0),FALSE)</f>
        <v>1049.972540750498</v>
      </c>
      <c r="C79" s="882">
        <f>VLOOKUP($N$69,'D_Ch6-3'!$B$5:$W$40,MATCH("Concept.Recherche",'D_Ch6-3'!$B$5:$X$5,0),FALSE)</f>
        <v>1008.6958952589811</v>
      </c>
      <c r="D79" s="882">
        <f>VLOOKUP($N$69,'D_Ch6-3'!$B$5:$W$40,MATCH("Culture Loisir",'D_Ch6-3'!$B$5:$X$5,0),FALSE)</f>
        <v>655.68225448292981</v>
      </c>
      <c r="E79" s="882">
        <f>VLOOKUP($N$69,'D_Ch6-3'!$B$5:$W$40,MATCH("Gestion",'D_Ch6-3'!$B$5:$X$5,0),FALSE)</f>
        <v>4005.9788248338859</v>
      </c>
      <c r="F79" s="882">
        <f>VLOOKUP($N$69,'D_Ch6-3'!$B$5:$W$40,MATCH("Prest. Intellect.",'D_Ch6-3'!$B$5:$X$5,0),FALSE)</f>
        <v>1196.8484670037867</v>
      </c>
      <c r="G79" s="547"/>
      <c r="H79" s="633"/>
      <c r="I79" s="633"/>
      <c r="J79" s="633"/>
      <c r="K79" s="633"/>
      <c r="L79" s="633"/>
      <c r="M79" s="633"/>
      <c r="N79" s="633"/>
      <c r="O79" s="633"/>
      <c r="P79" s="633"/>
      <c r="Q79" s="633"/>
      <c r="R79" s="633"/>
      <c r="S79" s="633"/>
      <c r="T79" s="633"/>
    </row>
    <row r="80" spans="1:20">
      <c r="A80" s="548" t="str">
        <f>$Q$68</f>
        <v>AU Nantes</v>
      </c>
      <c r="B80" s="882">
        <f>VLOOKUP($Q$68,'D_Ch6-3'!$B$5:$W$40,MATCH("Commerce Inter-entrep.",'D_Ch6-3'!$B$5:$X$5,0),FALSE)</f>
        <v>6449.4870544916212</v>
      </c>
      <c r="C80" s="882">
        <f>VLOOKUP($Q$68,'D_Ch6-3'!$B$5:$W$40,MATCH("Concept.Recherche",'D_Ch6-3'!$B$5:$X$5,0),FALSE)</f>
        <v>12666.489633717731</v>
      </c>
      <c r="D80" s="882">
        <f>VLOOKUP($Q$68,'D_Ch6-3'!$B$5:$W$40,MATCH("Culture Loisir",'D_Ch6-3'!$B$5:$X$5,0),FALSE)</f>
        <v>4393.5468803278336</v>
      </c>
      <c r="E80" s="882">
        <f>VLOOKUP($Q$68,'D_Ch6-3'!$B$5:$W$40,MATCH("Gestion",'D_Ch6-3'!$B$5:$X$5,0),FALSE)</f>
        <v>18765.727779160898</v>
      </c>
      <c r="F80" s="882">
        <f>VLOOKUP($Q$68,'D_Ch6-3'!$B$5:$W$40,MATCH("Prest. Intellect.",'D_Ch6-3'!$B$5:$X$5,0),FALSE)</f>
        <v>9820.8575028866235</v>
      </c>
      <c r="G80" s="547"/>
      <c r="H80" s="633"/>
      <c r="I80" s="633"/>
      <c r="J80" s="633"/>
      <c r="K80" s="633"/>
      <c r="L80" s="633"/>
      <c r="M80" s="633"/>
      <c r="N80" s="633"/>
      <c r="O80" s="633"/>
      <c r="P80" s="633"/>
      <c r="Q80" s="633"/>
      <c r="R80" s="633"/>
      <c r="S80" s="633"/>
      <c r="T80" s="633"/>
    </row>
    <row r="81" spans="1:20">
      <c r="A81" s="548" t="str">
        <f>R69</f>
        <v>Bx Métropole</v>
      </c>
      <c r="B81" s="882">
        <f>VLOOKUP($R$69,'D_Ch6-3'!$B$5:$W$40,MATCH("Commerce Inter-entrep.",'D_Ch6-3'!$B$5:$X$5,0),FALSE)</f>
        <v>5413.3654483613609</v>
      </c>
      <c r="C81" s="882">
        <f>VLOOKUP($R$69,'D_Ch6-3'!$B$5:$W$40,MATCH("Concept.Recherche",'D_Ch6-3'!$B$5:$X$5,0),FALSE)</f>
        <v>11149.019712353414</v>
      </c>
      <c r="D81" s="882">
        <f>VLOOKUP($R$69,'D_Ch6-3'!$B$5:$W$40,MATCH("Culture Loisir",'D_Ch6-3'!$B$5:$X$5,0),FALSE)</f>
        <v>4466.4603912794209</v>
      </c>
      <c r="E81" s="882">
        <f>VLOOKUP($R$69,'D_Ch6-3'!$B$5:$W$40,MATCH("Gestion",'D_Ch6-3'!$B$5:$X$5,0),FALSE)</f>
        <v>17709.247963116151</v>
      </c>
      <c r="F81" s="882">
        <f>VLOOKUP($R$69,'D_Ch6-3'!$B$5:$W$40,MATCH("Prest. Intellect.",'D_Ch6-3'!$B$5:$X$5,0),FALSE)</f>
        <v>10204.831974421539</v>
      </c>
      <c r="G81" s="547"/>
      <c r="H81" s="633"/>
      <c r="I81" s="633"/>
      <c r="J81" s="633"/>
      <c r="K81" s="633"/>
      <c r="L81" s="633"/>
      <c r="M81" s="633"/>
      <c r="N81" s="633"/>
      <c r="O81" s="633"/>
      <c r="P81" s="633"/>
      <c r="Q81" s="633"/>
      <c r="R81" s="633"/>
      <c r="S81" s="633"/>
      <c r="T81" s="633"/>
    </row>
    <row r="82" spans="1:20" ht="8.25" customHeight="1">
      <c r="A82" s="547"/>
      <c r="B82" s="547"/>
      <c r="C82" s="547"/>
      <c r="D82" s="547"/>
      <c r="E82" s="547"/>
      <c r="F82" s="547"/>
      <c r="G82" s="547"/>
      <c r="H82" s="624"/>
      <c r="I82" s="624"/>
    </row>
    <row r="83" spans="1:20">
      <c r="A83" s="624"/>
      <c r="B83" s="624"/>
      <c r="C83" s="624"/>
      <c r="D83" s="624"/>
      <c r="E83" s="624"/>
      <c r="F83" s="624"/>
      <c r="G83" s="624"/>
      <c r="H83" s="624"/>
      <c r="I83" s="624"/>
    </row>
    <row r="84" spans="1:20"/>
    <row r="85" spans="1:20"/>
    <row r="86" spans="1:20" ht="11.25" customHeight="1"/>
    <row r="87" spans="1:20" ht="15.75" thickBot="1">
      <c r="A87" s="412" t="s">
        <v>1986</v>
      </c>
      <c r="N87" s="535"/>
      <c r="O87" s="535"/>
    </row>
    <row r="88" spans="1:20" ht="16.5" thickTop="1" thickBot="1">
      <c r="A88" s="1375" t="s">
        <v>1141</v>
      </c>
      <c r="B88" s="1375"/>
      <c r="C88" s="1375"/>
      <c r="D88" s="552"/>
      <c r="E88" s="1376" t="s">
        <v>49</v>
      </c>
      <c r="F88" s="1377"/>
      <c r="G88" s="1378"/>
      <c r="H88" s="552"/>
      <c r="I88" s="1376" t="s">
        <v>41</v>
      </c>
      <c r="J88" s="1377"/>
      <c r="K88" s="1378"/>
      <c r="L88" s="552"/>
      <c r="M88" s="1376" t="s">
        <v>64</v>
      </c>
      <c r="N88" s="1377"/>
      <c r="O88" s="1378"/>
      <c r="P88" s="552"/>
      <c r="Q88" s="1372" t="s">
        <v>32</v>
      </c>
      <c r="R88" s="1373"/>
      <c r="S88" s="1374"/>
    </row>
    <row r="89" spans="1:20" ht="15.75" thickTop="1"/>
    <row r="90" spans="1:20"/>
    <row r="91" spans="1:20">
      <c r="A91" s="633"/>
      <c r="B91" s="633"/>
      <c r="C91" s="633"/>
      <c r="D91" s="633"/>
      <c r="E91" s="633"/>
    </row>
    <row r="92" spans="1:20">
      <c r="A92" s="547"/>
      <c r="B92" s="515">
        <v>1999</v>
      </c>
      <c r="C92" s="515">
        <v>2009</v>
      </c>
      <c r="D92" s="515">
        <v>2014</v>
      </c>
      <c r="E92" s="515"/>
      <c r="F92" s="550"/>
    </row>
    <row r="93" spans="1:20">
      <c r="A93" s="548" t="str">
        <f>$A$88</f>
        <v>France métro.</v>
      </c>
      <c r="B93" s="549">
        <f>VLOOKUP($A$88,'D_Ch6-3'!$B$5:$W$40,MATCH("B_100_Emplois CFM n-3",'D_Ch6-3'!$B$5:$X$5,0),FALSE)</f>
        <v>100</v>
      </c>
      <c r="C93" s="549">
        <f>VLOOKUP($A$88,'D_Ch6-3'!$B$5:$W$40,MATCH("B_100_Emplois CFM n-2",'D_Ch6-3'!$B$5:$X$5,0),FALSE)</f>
        <v>143.58703077088779</v>
      </c>
      <c r="D93" s="549">
        <f>VLOOKUP($A$88,'D_Ch6-3'!$B$5:$W$40,MATCH("B_100_Emplois CFM n-1",'D_Ch6-3'!$B$5:$X$5,0),FALSE)</f>
        <v>156.50707692326824</v>
      </c>
      <c r="E93" s="549"/>
      <c r="F93" s="551"/>
    </row>
    <row r="94" spans="1:20">
      <c r="A94" s="548" t="str">
        <f>$E$88</f>
        <v>AU Montpellier</v>
      </c>
      <c r="B94" s="549">
        <f>VLOOKUP($E$88,'D_Ch6-3'!$B$5:$W$40,MATCH("B_100_Emplois CFM n-3",'D_Ch6-3'!$B$5:$X$5,0),FALSE)</f>
        <v>100</v>
      </c>
      <c r="C94" s="549">
        <f>VLOOKUP($E$88,'D_Ch6-3'!$B$5:$W$40,MATCH("B_100_Emplois CFM n-2",'D_Ch6-3'!$B$5:$X$5,0),FALSE)</f>
        <v>162.55159462003337</v>
      </c>
      <c r="D94" s="549">
        <f>VLOOKUP($E$88,'D_Ch6-3'!$B$5:$W$40,MATCH("B_100_Emplois CFM n-1",'D_Ch6-3'!$B$5:$X$5,0),FALSE)</f>
        <v>197.64428841390733</v>
      </c>
      <c r="E94" s="549"/>
      <c r="F94" s="551"/>
    </row>
    <row r="95" spans="1:20">
      <c r="A95" s="548" t="str">
        <f>$I$88</f>
        <v>AU Strasbourg</v>
      </c>
      <c r="B95" s="549">
        <f>VLOOKUP($I$88,'D_Ch6-3'!$B$5:$W$40,MATCH("B_100_Emplois CFM n-3",'D_Ch6-3'!$B$5:$X$5,0),FALSE)</f>
        <v>100</v>
      </c>
      <c r="C95" s="549">
        <f>VLOOKUP($I$88,'D_Ch6-3'!$B$5:$W$40,MATCH("B_100_Emplois CFM n-2",'D_Ch6-3'!$B$5:$X$5,0),FALSE)</f>
        <v>138.65058357631094</v>
      </c>
      <c r="D95" s="549">
        <f>VLOOKUP($I$88,'D_Ch6-3'!$B$5:$W$40,MATCH("B_100_Emplois CFM n-1",'D_Ch6-3'!$B$5:$X$5,0),FALSE)</f>
        <v>148.13351965347036</v>
      </c>
      <c r="E95" s="549"/>
      <c r="F95" s="551"/>
    </row>
    <row r="96" spans="1:20">
      <c r="A96" s="548" t="str">
        <f>$M$88</f>
        <v>AU Douai - Lens</v>
      </c>
      <c r="B96" s="549">
        <f>VLOOKUP($M$88,'D_Ch6-3'!$B$5:$W$40,MATCH("B_100_Emplois CFM n-3",'D_Ch6-3'!$B$5:$X$5,0),FALSE)</f>
        <v>100</v>
      </c>
      <c r="C96" s="549">
        <f>VLOOKUP($M$88,'D_Ch6-3'!$B$5:$W$40,MATCH("B_100_Emplois CFM n-2",'D_Ch6-3'!$B$5:$X$5,0),FALSE)</f>
        <v>138.87434605009219</v>
      </c>
      <c r="D96" s="549">
        <f>VLOOKUP($M$88,'D_Ch6-3'!$B$5:$W$40,MATCH("B_100_Emplois CFM n-1",'D_Ch6-3'!$B$5:$X$5,0),FALSE)</f>
        <v>142.90934986155384</v>
      </c>
      <c r="E96" s="549"/>
      <c r="F96" s="551"/>
    </row>
    <row r="97" spans="1:6">
      <c r="A97" s="548" t="str">
        <f>$Q$88</f>
        <v>AU Toulouse</v>
      </c>
      <c r="B97" s="549">
        <f>VLOOKUP($Q$88,'D_Ch6-3'!$B$5:$W$40,MATCH("B_100_Emplois CFM n-3",'D_Ch6-3'!$B$5:$X$5,0),FALSE)</f>
        <v>100</v>
      </c>
      <c r="C97" s="549">
        <f>VLOOKUP($Q$88,'D_Ch6-3'!$B$5:$W$40,MATCH("B_100_Emplois CFM n-2",'D_Ch6-3'!$B$5:$X$5,0),FALSE)</f>
        <v>179.58918582805944</v>
      </c>
      <c r="D97" s="549">
        <f>VLOOKUP($Q$88,'D_Ch6-3'!$B$5:$W$40,MATCH("B_100_Emplois CFM n-1",'D_Ch6-3'!$B$5:$X$5,0),FALSE)</f>
        <v>210.20081522801172</v>
      </c>
      <c r="E97" s="549"/>
      <c r="F97" s="551"/>
    </row>
    <row r="98" spans="1:6">
      <c r="A98" s="633"/>
      <c r="B98" s="633"/>
      <c r="C98" s="633"/>
      <c r="D98" s="633"/>
      <c r="E98" s="633"/>
    </row>
    <row r="99" spans="1:6">
      <c r="A99" s="633"/>
      <c r="B99" s="633"/>
      <c r="C99" s="633"/>
      <c r="D99" s="633"/>
      <c r="E99" s="633"/>
    </row>
    <row r="100" spans="1:6"/>
    <row r="101" spans="1:6"/>
  </sheetData>
  <sheetProtection algorithmName="SHA-512" hashValue="84VG5ZHyItdK0eO2utp0cKbGf06Do+aF4iLErdgbSenPUeIhryvpTRm4UtC1WcmXpVuUq4KfATBsGghch4LrbA==" saltValue="wCPreELvAVRGRR7kfkJ/yw==" spinCount="100000" sheet="1" objects="1" autoFilter="0"/>
  <mergeCells count="104">
    <mergeCell ref="A68:C68"/>
    <mergeCell ref="E68:G68"/>
    <mergeCell ref="I68:K68"/>
    <mergeCell ref="M68:O68"/>
    <mergeCell ref="Q68:S68"/>
    <mergeCell ref="M62:N62"/>
    <mergeCell ref="P62:Q62"/>
    <mergeCell ref="R62:S62"/>
    <mergeCell ref="F63:G63"/>
    <mergeCell ref="H63:I63"/>
    <mergeCell ref="K63:L63"/>
    <mergeCell ref="M63:N63"/>
    <mergeCell ref="P63:Q63"/>
    <mergeCell ref="R63:S63"/>
    <mergeCell ref="A62:E62"/>
    <mergeCell ref="A63:E63"/>
    <mergeCell ref="F62:G62"/>
    <mergeCell ref="H62:I62"/>
    <mergeCell ref="K62:L62"/>
    <mergeCell ref="Q88:S88"/>
    <mergeCell ref="A88:C88"/>
    <mergeCell ref="E88:G88"/>
    <mergeCell ref="I88:K88"/>
    <mergeCell ref="M88:O88"/>
    <mergeCell ref="B69:D69"/>
    <mergeCell ref="F69:H69"/>
    <mergeCell ref="J69:L69"/>
    <mergeCell ref="N69:P69"/>
    <mergeCell ref="R69:T69"/>
    <mergeCell ref="H59:M59"/>
    <mergeCell ref="O59:S59"/>
    <mergeCell ref="F61:G61"/>
    <mergeCell ref="M61:N61"/>
    <mergeCell ref="P61:Q61"/>
    <mergeCell ref="H61:I61"/>
    <mergeCell ref="K61:L61"/>
    <mergeCell ref="R61:S61"/>
    <mergeCell ref="A59:C59"/>
    <mergeCell ref="A48:E48"/>
    <mergeCell ref="A49:E49"/>
    <mergeCell ref="F51:T54"/>
    <mergeCell ref="A56:T57"/>
    <mergeCell ref="J49:L49"/>
    <mergeCell ref="M49:O49"/>
    <mergeCell ref="P47:R47"/>
    <mergeCell ref="P48:R48"/>
    <mergeCell ref="P49:R49"/>
    <mergeCell ref="F47:I47"/>
    <mergeCell ref="F48:I48"/>
    <mergeCell ref="F49:I49"/>
    <mergeCell ref="J48:L48"/>
    <mergeCell ref="M48:O48"/>
    <mergeCell ref="J47:L47"/>
    <mergeCell ref="M47:O47"/>
    <mergeCell ref="F43:I43"/>
    <mergeCell ref="F44:I44"/>
    <mergeCell ref="F45:I45"/>
    <mergeCell ref="J44:L44"/>
    <mergeCell ref="M44:O44"/>
    <mergeCell ref="A44:E44"/>
    <mergeCell ref="J43:L43"/>
    <mergeCell ref="M43:O43"/>
    <mergeCell ref="R38:S38"/>
    <mergeCell ref="A39:E39"/>
    <mergeCell ref="A45:E45"/>
    <mergeCell ref="J45:L45"/>
    <mergeCell ref="M45:O45"/>
    <mergeCell ref="J39:L39"/>
    <mergeCell ref="M39:O39"/>
    <mergeCell ref="R39:S39"/>
    <mergeCell ref="P39:Q39"/>
    <mergeCell ref="P38:Q38"/>
    <mergeCell ref="A38:E38"/>
    <mergeCell ref="H41:M41"/>
    <mergeCell ref="O41:S41"/>
    <mergeCell ref="F37:I37"/>
    <mergeCell ref="F38:I38"/>
    <mergeCell ref="F39:I39"/>
    <mergeCell ref="J38:L38"/>
    <mergeCell ref="M38:O38"/>
    <mergeCell ref="H15:J15"/>
    <mergeCell ref="K15:M15"/>
    <mergeCell ref="N15:P15"/>
    <mergeCell ref="Q15:S15"/>
    <mergeCell ref="R37:S37"/>
    <mergeCell ref="M37:O37"/>
    <mergeCell ref="J37:L37"/>
    <mergeCell ref="P37:Q37"/>
    <mergeCell ref="H35:M35"/>
    <mergeCell ref="O35:S35"/>
    <mergeCell ref="A13:G13"/>
    <mergeCell ref="F1:T4"/>
    <mergeCell ref="A6:T7"/>
    <mergeCell ref="H9:M9"/>
    <mergeCell ref="O9:S9"/>
    <mergeCell ref="A9:C9"/>
    <mergeCell ref="H14:J14"/>
    <mergeCell ref="K14:M14"/>
    <mergeCell ref="N14:P14"/>
    <mergeCell ref="Q14:S14"/>
    <mergeCell ref="H13:J13"/>
    <mergeCell ref="K13:M13"/>
    <mergeCell ref="N13:P13"/>
    <mergeCell ref="Q13:S13"/>
  </mergeCells>
  <hyperlinks>
    <hyperlink ref="A11:E11" location="Glossaire!A254" display="Enseignement supérieur" xr:uid="{00000000-0004-0000-1A00-000000000000}"/>
    <hyperlink ref="A17" location="Glossaire!A258" display="Origine des étudiants en 2ème cycle ou plus dans les universités (rentrée 2012 / 2013)" xr:uid="{00000000-0004-0000-1A00-000001000000}"/>
    <hyperlink ref="A33" location="Glossaire!A260" display="Nombre de chercheurs public / privé en équivalent temps plein" xr:uid="{00000000-0004-0000-1A00-000002000000}"/>
    <hyperlink ref="A33:J33" location="Glossaire!A260" display="Nombre de chercheurs public / privé en équivalent temps plein" xr:uid="{00000000-0004-0000-1A00-000003000000}"/>
    <hyperlink ref="A41" location="Glossaire!A262" display="Brevets et" xr:uid="{00000000-0004-0000-1A00-000004000000}"/>
    <hyperlink ref="A17:P17" location="Glossaire!A252" display="Origine des étudiants en 2e cycle ou plus dans les universités (rentrée 2015 / 2016)" xr:uid="{00000000-0004-0000-1A00-000005000000}"/>
    <hyperlink ref="A33:L33" location="Glossaire!A262" display="Nombre de chercheurs publics / privés en équivalent temps plein" xr:uid="{00000000-0004-0000-1A00-000006000000}"/>
    <hyperlink ref="F61:G61" location="Glossaire!A268" display="Emploi créatif 2016" xr:uid="{00000000-0004-0000-1A00-000007000000}"/>
    <hyperlink ref="J61" location="Glossaire!A273" display="rang des AU ou ZE" xr:uid="{00000000-0004-0000-1A00-000008000000}"/>
    <hyperlink ref="K61:L61" location="Glossaire!A275" display="Emploi dans la haute technologie 2016" xr:uid="{00000000-0004-0000-1A00-000009000000}"/>
    <hyperlink ref="O61" location="Glossaire!A292" display="rang des AU ou ZE" xr:uid="{00000000-0004-0000-1A00-00000A000000}"/>
    <hyperlink ref="P61:Q61" location="Glossaire!A295" display="Emploi CFM 2014" xr:uid="{00000000-0004-0000-1A00-00000B000000}"/>
    <hyperlink ref="T61" location="Glossaire!A301" display="rang des AU ou ZE" xr:uid="{00000000-0004-0000-1A00-00000C000000}"/>
    <hyperlink ref="H13:J13" location="Glossaire!A255" display="Nombre d'étudiants (public et privé)" xr:uid="{00000000-0004-0000-1A00-00000D000000}"/>
    <hyperlink ref="N13:P13" location="Glossaire!A258" display="Rang sur 12 académies" xr:uid="{00000000-0004-0000-1A00-00000E000000}"/>
    <hyperlink ref="A17:O17" location="Glossaire!A260" display="Origine des étudiants en 2e cycle ou plus dans les universités (rentrée 2015 / 2016)" xr:uid="{00000000-0004-0000-1A00-00000F000000}"/>
    <hyperlink ref="A41:B41" location="Glossaire!A264" display="Brevets et" xr:uid="{00000000-0004-0000-1A00-000010000000}"/>
    <hyperlink ref="A66:O66" location="Glossaire!A305" display="Caractéristiques des emplois de cadres des fonctions métropolitaines (CFM) en 2014" xr:uid="{00000000-0004-0000-1A00-000011000000}"/>
    <hyperlink ref="A66:P66" location="Glossaire!A295" display="Caractéristiques des emplois de cadres des fonctions métropolitaines (CFM) en 2014" xr:uid="{00000000-0004-0000-1A00-000012000000}"/>
  </hyperlink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avril 2018</oddHeader>
    <oddFooter>&amp;C&amp;"-,Italique"&amp;8&amp;A&amp;R&amp;8Page &amp;P</oddFooter>
  </headerFooter>
  <rowBreaks count="1" manualBreakCount="1">
    <brk id="50" max="16383" man="1"/>
  </rowBreaks>
  <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1A00-000000000000}">
          <x14:formula1>
            <xm:f>'D_Ch6-3'!$B$6:$B$40</xm:f>
          </x14:formula1>
          <xm:sqref>O59:S59</xm:sqref>
        </x14:dataValidation>
        <x14:dataValidation type="list" allowBlank="1" showInputMessage="1" showErrorMessage="1" xr:uid="{00000000-0002-0000-1A00-000001000000}">
          <x14:formula1>
            <xm:f>'D_Ch6-3'!$B$6:$B$40</xm:f>
          </x14:formula1>
          <xm:sqref>A68:C68</xm:sqref>
        </x14:dataValidation>
        <x14:dataValidation type="list" allowBlank="1" showInputMessage="1" showErrorMessage="1" xr:uid="{00000000-0002-0000-1A00-000002000000}">
          <x14:formula1>
            <xm:f>'D_Ch6-3'!$B$6:$B$40</xm:f>
          </x14:formula1>
          <xm:sqref>E68:G68</xm:sqref>
        </x14:dataValidation>
        <x14:dataValidation type="list" allowBlank="1" showInputMessage="1" showErrorMessage="1" xr:uid="{00000000-0002-0000-1A00-000003000000}">
          <x14:formula1>
            <xm:f>'D_Ch6-3'!$B$6:$B$40</xm:f>
          </x14:formula1>
          <xm:sqref>I68:K68</xm:sqref>
        </x14:dataValidation>
        <x14:dataValidation type="list" allowBlank="1" showInputMessage="1" showErrorMessage="1" xr:uid="{00000000-0002-0000-1A00-000004000000}">
          <x14:formula1>
            <xm:f>'D_Ch6-3'!$B$6:$B$40</xm:f>
          </x14:formula1>
          <xm:sqref>M68:O68</xm:sqref>
        </x14:dataValidation>
        <x14:dataValidation type="list" allowBlank="1" showInputMessage="1" showErrorMessage="1" xr:uid="{00000000-0002-0000-1A00-000005000000}">
          <x14:formula1>
            <xm:f>'D_Ch6-3'!$B$6:$B$40</xm:f>
          </x14:formula1>
          <xm:sqref>Q68:S68</xm:sqref>
        </x14:dataValidation>
        <x14:dataValidation type="list" allowBlank="1" showInputMessage="1" showErrorMessage="1" xr:uid="{00000000-0002-0000-1A00-000006000000}">
          <x14:formula1>
            <xm:f>'D_Ch6-3'!$B$6:$B$40</xm:f>
          </x14:formula1>
          <xm:sqref>B69:D69</xm:sqref>
        </x14:dataValidation>
        <x14:dataValidation type="list" allowBlank="1" showInputMessage="1" showErrorMessage="1" xr:uid="{00000000-0002-0000-1A00-000007000000}">
          <x14:formula1>
            <xm:f>'D_Ch6-3'!$B$6:$B$40</xm:f>
          </x14:formula1>
          <xm:sqref>F69:H69</xm:sqref>
        </x14:dataValidation>
        <x14:dataValidation type="list" allowBlank="1" showInputMessage="1" showErrorMessage="1" xr:uid="{00000000-0002-0000-1A00-000008000000}">
          <x14:formula1>
            <xm:f>'D_Ch6-3'!$B$6:$B$40</xm:f>
          </x14:formula1>
          <xm:sqref>J69:L69</xm:sqref>
        </x14:dataValidation>
        <x14:dataValidation type="list" allowBlank="1" showInputMessage="1" showErrorMessage="1" xr:uid="{00000000-0002-0000-1A00-000009000000}">
          <x14:formula1>
            <xm:f>'D_Ch6-3'!$B$6:$B$40</xm:f>
          </x14:formula1>
          <xm:sqref>R69:T69</xm:sqref>
        </x14:dataValidation>
        <x14:dataValidation type="list" allowBlank="1" showInputMessage="1" showErrorMessage="1" xr:uid="{00000000-0002-0000-1A00-00000A000000}">
          <x14:formula1>
            <xm:f>'D_Ch6-3'!$B$6:$B$40</xm:f>
          </x14:formula1>
          <xm:sqref>N69:P69</xm:sqref>
        </x14:dataValidation>
        <x14:dataValidation type="list" allowBlank="1" showInputMessage="1" showErrorMessage="1" xr:uid="{00000000-0002-0000-1A00-00000B000000}">
          <x14:formula1>
            <xm:f>'D_Ch6-3'!$B$6:$B$40</xm:f>
          </x14:formula1>
          <xm:sqref>E88:G88</xm:sqref>
        </x14:dataValidation>
        <x14:dataValidation type="list" allowBlank="1" showInputMessage="1" showErrorMessage="1" xr:uid="{00000000-0002-0000-1A00-00000C000000}">
          <x14:formula1>
            <xm:f>'D_Ch6-3'!$B$6:$B$40</xm:f>
          </x14:formula1>
          <xm:sqref>I88:K88</xm:sqref>
        </x14:dataValidation>
        <x14:dataValidation type="list" allowBlank="1" showInputMessage="1" showErrorMessage="1" xr:uid="{00000000-0002-0000-1A00-00000D000000}">
          <x14:formula1>
            <xm:f>'D_Ch6-3'!$B$6:$B$40</xm:f>
          </x14:formula1>
          <xm:sqref>M88:O88</xm:sqref>
        </x14:dataValidation>
        <x14:dataValidation type="list" allowBlank="1" showInputMessage="1" showErrorMessage="1" xr:uid="{00000000-0002-0000-1A00-00000E000000}">
          <x14:formula1>
            <xm:f>'D_Ch6-1'!$B$34:$B$46</xm:f>
          </x14:formula1>
          <xm:sqref>H9:M9 O9:S9</xm:sqref>
        </x14:dataValidation>
        <x14:dataValidation type="list" allowBlank="1" showInputMessage="1" showErrorMessage="1" xr:uid="{00000000-0002-0000-1A00-00000F000000}">
          <x14:formula1>
            <xm:f>'D_Ch6-2'!$A$10:$A$23</xm:f>
          </x14:formula1>
          <xm:sqref>O35:S35</xm:sqref>
        </x14:dataValidation>
        <x14:dataValidation type="list" allowBlank="1" showInputMessage="1" showErrorMessage="1" xr:uid="{00000000-0002-0000-1A00-000010000000}">
          <x14:formula1>
            <xm:f>'D_Ch6-3'!$B$6:$B$40</xm:f>
          </x14:formula1>
          <xm:sqref>H59:M59</xm:sqref>
        </x14:dataValidation>
        <x14:dataValidation type="list" allowBlank="1" showInputMessage="1" showErrorMessage="1" xr:uid="{00000000-0002-0000-1A00-000011000000}">
          <x14:formula1>
            <xm:f>'D_Ch6-2'!$A$10:$A$23</xm:f>
          </x14:formula1>
          <xm:sqref>H35:M35</xm:sqref>
        </x14:dataValidation>
        <x14:dataValidation type="list" allowBlank="1" showInputMessage="1" showErrorMessage="1" xr:uid="{00000000-0002-0000-1A00-000012000000}">
          <x14:formula1>
            <xm:f>'D_Ch6-2'!$A$27:$A$36</xm:f>
          </x14:formula1>
          <xm:sqref>H41:M41</xm:sqref>
        </x14:dataValidation>
        <x14:dataValidation type="list" allowBlank="1" showInputMessage="1" showErrorMessage="1" xr:uid="{00000000-0002-0000-1A00-000013000000}">
          <x14:formula1>
            <xm:f>'D_Ch6-2'!$A$27:$A$36</xm:f>
          </x14:formula1>
          <xm:sqref>O41:S41</xm:sqref>
        </x14:dataValidation>
        <x14:dataValidation type="list" allowBlank="1" showInputMessage="1" showErrorMessage="1" xr:uid="{00000000-0002-0000-1A00-000014000000}">
          <x14:formula1>
            <xm:f>'D_Ch6-3'!$B$6:$B$39</xm:f>
          </x14:formula1>
          <xm:sqref>Q88:S88</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156"/>
  <sheetViews>
    <sheetView showGridLines="0" showRowColHeaders="0" showRuler="0" view="pageLayout" zoomScaleNormal="100" workbookViewId="0">
      <selection activeCell="R15" sqref="R15"/>
    </sheetView>
  </sheetViews>
  <sheetFormatPr baseColWidth="10" defaultColWidth="0" defaultRowHeight="15" zeroHeight="1"/>
  <cols>
    <col min="1" max="19" width="4.85546875" customWidth="1"/>
    <col min="20" max="20" width="4.7109375" customWidth="1"/>
    <col min="21" max="21" width="1.140625" customWidth="1"/>
    <col min="22" max="16384" width="11.42578125" hidden="1"/>
  </cols>
  <sheetData>
    <row r="1" spans="1:20" s="198" customFormat="1" ht="15" customHeight="1">
      <c r="A1" s="195"/>
      <c r="B1" s="196"/>
      <c r="C1" s="197"/>
      <c r="D1" s="197"/>
      <c r="E1" s="197"/>
      <c r="F1" s="1105" t="s">
        <v>1039</v>
      </c>
      <c r="G1" s="1105"/>
      <c r="H1" s="1105"/>
      <c r="I1" s="1105"/>
      <c r="J1" s="1105"/>
      <c r="K1" s="1105"/>
      <c r="L1" s="1105"/>
      <c r="M1" s="1105"/>
      <c r="N1" s="1105"/>
      <c r="O1" s="1105"/>
      <c r="P1" s="1105"/>
      <c r="Q1" s="1105"/>
      <c r="R1" s="1105"/>
      <c r="S1" s="1105"/>
      <c r="T1" s="1105"/>
    </row>
    <row r="2" spans="1:20" s="198" customFormat="1" ht="12.75" customHeight="1">
      <c r="A2" s="199"/>
      <c r="B2" s="197"/>
      <c r="C2" s="197"/>
      <c r="D2" s="197"/>
      <c r="E2" s="197"/>
      <c r="F2" s="1105"/>
      <c r="G2" s="1105"/>
      <c r="H2" s="1105"/>
      <c r="I2" s="1105"/>
      <c r="J2" s="1105"/>
      <c r="K2" s="1105"/>
      <c r="L2" s="1105"/>
      <c r="M2" s="1105"/>
      <c r="N2" s="1105"/>
      <c r="O2" s="1105"/>
      <c r="P2" s="1105"/>
      <c r="Q2" s="1105"/>
      <c r="R2" s="1105"/>
      <c r="S2" s="1105"/>
      <c r="T2" s="1105"/>
    </row>
    <row r="3" spans="1:20" s="198" customFormat="1" ht="15" customHeight="1">
      <c r="A3" s="200"/>
      <c r="B3" s="197"/>
      <c r="C3" s="197"/>
      <c r="D3" s="197"/>
      <c r="E3" s="197"/>
      <c r="F3" s="1105"/>
      <c r="G3" s="1105"/>
      <c r="H3" s="1105"/>
      <c r="I3" s="1105"/>
      <c r="J3" s="1105"/>
      <c r="K3" s="1105"/>
      <c r="L3" s="1105"/>
      <c r="M3" s="1105"/>
      <c r="N3" s="1105"/>
      <c r="O3" s="1105"/>
      <c r="P3" s="1105"/>
      <c r="Q3" s="1105"/>
      <c r="R3" s="1105"/>
      <c r="S3" s="1105"/>
      <c r="T3" s="1105"/>
    </row>
    <row r="4" spans="1:20" s="198" customFormat="1" ht="12.75" customHeight="1">
      <c r="A4" s="200"/>
      <c r="B4" s="197"/>
      <c r="C4" s="197"/>
      <c r="D4" s="197"/>
      <c r="E4" s="197"/>
      <c r="F4" s="1105"/>
      <c r="G4" s="1105"/>
      <c r="H4" s="1105"/>
      <c r="I4" s="1105"/>
      <c r="J4" s="1105"/>
      <c r="K4" s="1105"/>
      <c r="L4" s="1105"/>
      <c r="M4" s="1105"/>
      <c r="N4" s="1105"/>
      <c r="O4" s="1105"/>
      <c r="P4" s="1105"/>
      <c r="Q4" s="1105"/>
      <c r="R4" s="1105"/>
      <c r="S4" s="1105"/>
      <c r="T4" s="1105"/>
    </row>
    <row r="5" spans="1:20" ht="5.25" customHeight="1"/>
    <row r="6" spans="1:20" s="198" customFormat="1" ht="15" customHeight="1">
      <c r="A6" s="1102" t="s">
        <v>910</v>
      </c>
      <c r="B6" s="1102"/>
      <c r="C6" s="1102"/>
      <c r="D6" s="1102"/>
      <c r="E6" s="1102"/>
      <c r="F6" s="1102"/>
      <c r="G6" s="1102"/>
      <c r="H6" s="1102"/>
      <c r="I6" s="1102"/>
      <c r="J6" s="1102"/>
      <c r="K6" s="1102"/>
      <c r="L6" s="1102"/>
      <c r="M6" s="1102"/>
      <c r="N6" s="1102"/>
      <c r="O6" s="1102"/>
      <c r="P6" s="1102"/>
      <c r="Q6" s="1102"/>
      <c r="R6" s="1102"/>
      <c r="S6" s="1102"/>
      <c r="T6" s="1102"/>
    </row>
    <row r="7" spans="1:20" s="198" customFormat="1" ht="15" customHeight="1">
      <c r="A7" s="1102"/>
      <c r="B7" s="1102"/>
      <c r="C7" s="1102"/>
      <c r="D7" s="1102"/>
      <c r="E7" s="1102"/>
      <c r="F7" s="1102"/>
      <c r="G7" s="1102"/>
      <c r="H7" s="1102"/>
      <c r="I7" s="1102"/>
      <c r="J7" s="1102"/>
      <c r="K7" s="1102"/>
      <c r="L7" s="1102"/>
      <c r="M7" s="1102"/>
      <c r="N7" s="1102"/>
      <c r="O7" s="1102"/>
      <c r="P7" s="1102"/>
      <c r="Q7" s="1102"/>
      <c r="R7" s="1102"/>
      <c r="S7" s="1102"/>
      <c r="T7" s="1102"/>
    </row>
    <row r="8" spans="1:20" ht="6" customHeight="1" thickBot="1"/>
    <row r="9" spans="1:20" s="276" customFormat="1" ht="14.25" thickTop="1" thickBot="1">
      <c r="A9" s="1011" t="s">
        <v>1077</v>
      </c>
      <c r="B9" s="1012"/>
      <c r="C9" s="1013"/>
      <c r="D9" s="561"/>
      <c r="E9" s="561"/>
      <c r="F9" s="561"/>
      <c r="G9" s="1293" t="s">
        <v>61</v>
      </c>
      <c r="H9" s="1294"/>
      <c r="I9" s="1294"/>
      <c r="J9" s="1294"/>
      <c r="K9" s="1294"/>
      <c r="L9" s="1295"/>
      <c r="M9" s="557"/>
      <c r="N9" s="1296" t="s">
        <v>32</v>
      </c>
      <c r="O9" s="1297"/>
      <c r="P9" s="1297"/>
      <c r="Q9" s="1297"/>
      <c r="R9" s="1297"/>
      <c r="S9" s="1297"/>
      <c r="T9" s="1298"/>
    </row>
    <row r="10" spans="1:20" ht="6" customHeight="1" thickTop="1"/>
    <row r="11" spans="1:20">
      <c r="A11" s="963" t="s">
        <v>1989</v>
      </c>
      <c r="B11" s="856"/>
      <c r="C11" s="856"/>
      <c r="D11" s="856"/>
      <c r="E11" s="856"/>
      <c r="F11" s="856"/>
      <c r="G11" s="856"/>
      <c r="H11" s="867"/>
      <c r="I11" s="310"/>
      <c r="J11" s="310"/>
      <c r="K11" s="310"/>
      <c r="L11" s="310"/>
      <c r="M11" s="310"/>
      <c r="N11" s="310"/>
      <c r="O11" s="310"/>
      <c r="P11" s="310"/>
      <c r="Q11" s="310"/>
      <c r="R11" s="310"/>
      <c r="S11" s="310"/>
      <c r="T11" s="310"/>
    </row>
    <row r="12" spans="1:20" s="216" customFormat="1" ht="40.5" customHeight="1">
      <c r="A12" s="403"/>
      <c r="B12" s="403"/>
      <c r="C12" s="403"/>
      <c r="D12" s="403"/>
      <c r="E12" s="403"/>
      <c r="F12" s="403"/>
      <c r="G12" s="1052" t="s">
        <v>532</v>
      </c>
      <c r="H12" s="1053"/>
      <c r="I12" s="1054"/>
      <c r="J12" s="1052" t="s">
        <v>533</v>
      </c>
      <c r="K12" s="1053"/>
      <c r="L12" s="1054"/>
      <c r="M12" s="1402" t="s">
        <v>534</v>
      </c>
      <c r="N12" s="1403"/>
      <c r="O12" s="1404"/>
      <c r="P12" s="1052" t="s">
        <v>1741</v>
      </c>
      <c r="Q12" s="1053"/>
      <c r="R12" s="1054"/>
      <c r="S12" s="403"/>
      <c r="T12" s="403"/>
    </row>
    <row r="13" spans="1:20" s="216" customFormat="1" ht="12">
      <c r="A13" s="1399" t="str">
        <f>$G$9</f>
        <v>AU Bordeaux</v>
      </c>
      <c r="B13" s="1400"/>
      <c r="C13" s="1400"/>
      <c r="D13" s="1400"/>
      <c r="E13" s="1400"/>
      <c r="F13" s="1401"/>
      <c r="G13" s="1205">
        <f>VLOOKUP($G$9,'D_Ch7-1'!$B$5:$F$77,MATCH("Hôtels classés",'D_Ch7-1'!$B$5:$F$5,0),FALSE)</f>
        <v>162</v>
      </c>
      <c r="H13" s="1405"/>
      <c r="I13" s="1199"/>
      <c r="J13" s="1196">
        <f>VLOOKUP($G$9,'D_Ch7-1'!$B$5:$F$77,MATCH("chambres dans Hôtels classés",'D_Ch7-1'!$B$5:$F$5,0),FALSE)</f>
        <v>9164</v>
      </c>
      <c r="K13" s="1197"/>
      <c r="L13" s="1198"/>
      <c r="M13" s="1196">
        <f>VLOOKUP($G$9,'D_Ch7-1'!$B$5:$F$77,MATCH("Campings classés",'D_Ch7-1'!$B$5:$F$5,0),FALSE)</f>
        <v>56</v>
      </c>
      <c r="N13" s="1197"/>
      <c r="O13" s="1198"/>
      <c r="P13" s="1196">
        <f>VLOOKUP($G$9,'D_Ch7-1'!$B$5:$F$77,MATCH("Emplacements de camping classés",'D_Ch7-1'!$B$5:$F$5,0),FALSE)</f>
        <v>13846</v>
      </c>
      <c r="Q13" s="1197"/>
      <c r="R13" s="1198"/>
      <c r="S13" s="403"/>
      <c r="T13" s="403"/>
    </row>
    <row r="14" spans="1:20" s="216" customFormat="1" ht="12">
      <c r="A14" s="1406" t="str">
        <f>$N$9</f>
        <v>AU Toulouse</v>
      </c>
      <c r="B14" s="1407"/>
      <c r="C14" s="1407"/>
      <c r="D14" s="1407"/>
      <c r="E14" s="1407"/>
      <c r="F14" s="1408"/>
      <c r="G14" s="1205">
        <f>VLOOKUP($N$9,'D_Ch7-1'!$B$5:$F$77,MATCH("Hôtels classés",'D_Ch7-1'!$B$5:$F$5,0),FALSE)</f>
        <v>147</v>
      </c>
      <c r="H14" s="1405"/>
      <c r="I14" s="1199"/>
      <c r="J14" s="1196">
        <f>VLOOKUP($N$9,'D_Ch7-1'!$B$5:$F$77,MATCH("chambres dans Hôtels classés",'D_Ch7-1'!$B$5:$F$5,0),FALSE)</f>
        <v>8412</v>
      </c>
      <c r="K14" s="1197"/>
      <c r="L14" s="1198"/>
      <c r="M14" s="1196">
        <f>VLOOKUP($N$9,'D_Ch7-1'!$B$5:$F$77,MATCH("Campings classés",'D_Ch7-1'!$B$5:$F$5,0),FALSE)</f>
        <v>26</v>
      </c>
      <c r="N14" s="1197"/>
      <c r="O14" s="1198"/>
      <c r="P14" s="1196">
        <f>VLOOKUP($N$9,'D_Ch7-1'!$B$5:$F$77,MATCH("Emplacements de camping classés",'D_Ch7-1'!$B$5:$F$5,0),FALSE)</f>
        <v>1704</v>
      </c>
      <c r="Q14" s="1197"/>
      <c r="R14" s="1198"/>
      <c r="S14" s="403"/>
      <c r="T14" s="403"/>
    </row>
    <row r="15" spans="1:20">
      <c r="A15" s="310"/>
      <c r="B15" s="310"/>
      <c r="C15" s="310"/>
      <c r="D15" s="310"/>
      <c r="E15" s="310"/>
      <c r="F15" s="310"/>
      <c r="G15" s="310"/>
      <c r="H15" s="310"/>
      <c r="I15" s="310"/>
      <c r="J15" s="310"/>
      <c r="K15" s="310"/>
      <c r="L15" s="310"/>
      <c r="M15" s="310"/>
      <c r="N15" s="310"/>
      <c r="O15" s="310"/>
      <c r="P15" s="310"/>
      <c r="Q15" s="310"/>
      <c r="R15" s="310"/>
      <c r="S15" s="310"/>
      <c r="T15" s="310"/>
    </row>
    <row r="16" spans="1:20">
      <c r="A16" s="412" t="s">
        <v>1766</v>
      </c>
      <c r="B16" s="310"/>
      <c r="C16" s="310"/>
      <c r="D16" s="310"/>
      <c r="E16" s="310"/>
      <c r="F16" s="310"/>
      <c r="G16" s="310"/>
      <c r="H16" s="310"/>
      <c r="I16" s="310"/>
      <c r="J16" s="310"/>
      <c r="K16" s="310"/>
      <c r="L16" s="310"/>
      <c r="M16" s="464"/>
      <c r="N16" s="464"/>
      <c r="O16" s="310"/>
      <c r="P16" s="310"/>
      <c r="Q16" s="310"/>
      <c r="R16" s="310"/>
      <c r="S16" s="310"/>
      <c r="T16" s="310"/>
    </row>
    <row r="17" spans="1:22">
      <c r="A17" s="310"/>
      <c r="B17" s="310"/>
      <c r="C17" s="310"/>
      <c r="D17" s="310"/>
      <c r="E17" s="310"/>
      <c r="F17" s="310"/>
      <c r="G17" s="310"/>
      <c r="H17" s="310"/>
      <c r="I17" s="310"/>
      <c r="J17" s="310"/>
      <c r="K17" s="310"/>
      <c r="L17" s="310"/>
      <c r="M17" s="310"/>
      <c r="N17" s="310"/>
      <c r="O17" s="310"/>
      <c r="P17" s="310"/>
      <c r="Q17" s="310"/>
      <c r="R17" s="310"/>
      <c r="S17" s="310"/>
      <c r="T17" s="310"/>
    </row>
    <row r="18" spans="1:22">
      <c r="A18" s="310"/>
      <c r="B18" s="310"/>
      <c r="C18" s="310"/>
      <c r="D18" s="310"/>
      <c r="E18" s="310"/>
      <c r="F18" s="310"/>
      <c r="G18" s="310"/>
      <c r="H18" s="310"/>
      <c r="I18" s="310"/>
      <c r="J18" s="310"/>
      <c r="K18" s="310"/>
      <c r="L18" s="310"/>
      <c r="M18" s="310"/>
      <c r="N18" s="310"/>
      <c r="O18" s="310"/>
      <c r="P18" s="310"/>
      <c r="Q18" s="310"/>
      <c r="R18" s="310"/>
      <c r="S18" s="310"/>
      <c r="T18" s="310"/>
    </row>
    <row r="19" spans="1:22">
      <c r="A19" s="310"/>
      <c r="B19" s="310"/>
      <c r="C19" s="310"/>
      <c r="D19" s="310"/>
      <c r="E19" s="310"/>
      <c r="F19" s="310"/>
      <c r="G19" s="310"/>
      <c r="H19" s="310"/>
      <c r="I19" s="310"/>
      <c r="J19" s="310"/>
      <c r="K19" s="310"/>
      <c r="L19" s="310"/>
      <c r="M19" s="310"/>
      <c r="N19" s="310"/>
      <c r="O19" s="310"/>
      <c r="P19" s="310"/>
      <c r="Q19" s="310"/>
      <c r="R19" s="310"/>
      <c r="S19" s="310"/>
      <c r="T19" s="310"/>
    </row>
    <row r="20" spans="1:22">
      <c r="A20" s="310"/>
      <c r="B20" s="310"/>
      <c r="C20" s="310"/>
      <c r="D20" s="310"/>
      <c r="E20" s="310"/>
      <c r="F20" s="310"/>
      <c r="G20" s="310"/>
      <c r="H20" s="310"/>
      <c r="I20" s="310"/>
      <c r="J20" s="310"/>
      <c r="K20" s="310"/>
      <c r="L20" s="310"/>
      <c r="M20" s="310"/>
      <c r="N20" s="310"/>
      <c r="O20" s="310"/>
      <c r="P20" s="310"/>
      <c r="Q20" s="310"/>
      <c r="R20" s="310"/>
      <c r="S20" s="310"/>
      <c r="T20" s="310"/>
    </row>
    <row r="21" spans="1:22">
      <c r="A21" s="310"/>
      <c r="B21" s="310"/>
      <c r="C21" s="310"/>
      <c r="D21" s="310"/>
      <c r="E21" s="310"/>
      <c r="F21" s="310"/>
      <c r="G21" s="310"/>
      <c r="H21" s="310"/>
      <c r="I21" s="310"/>
      <c r="J21" s="310"/>
      <c r="K21" s="310"/>
      <c r="L21" s="310"/>
      <c r="M21" s="310"/>
      <c r="N21" s="310"/>
      <c r="O21" s="310"/>
      <c r="P21" s="310"/>
      <c r="Q21" s="310"/>
      <c r="R21" s="310"/>
      <c r="S21" s="310"/>
      <c r="T21" s="310"/>
      <c r="V21" s="287"/>
    </row>
    <row r="22" spans="1:22">
      <c r="A22" s="310"/>
      <c r="B22" s="310"/>
      <c r="C22" s="310"/>
      <c r="D22" s="310"/>
      <c r="E22" s="310"/>
      <c r="F22" s="310"/>
      <c r="G22" s="310"/>
      <c r="H22" s="310"/>
      <c r="I22" s="310"/>
      <c r="J22" s="310"/>
      <c r="K22" s="310"/>
      <c r="L22" s="310"/>
      <c r="M22" s="310"/>
      <c r="N22" s="310"/>
      <c r="O22" s="310"/>
      <c r="P22" s="310"/>
      <c r="Q22" s="310"/>
      <c r="R22" s="310"/>
      <c r="S22" s="310"/>
      <c r="T22" s="310"/>
    </row>
    <row r="23" spans="1:22">
      <c r="A23" s="310"/>
      <c r="B23" s="310"/>
      <c r="C23" s="310"/>
      <c r="D23" s="310"/>
      <c r="E23" s="310"/>
      <c r="F23" s="310"/>
      <c r="G23" s="310"/>
      <c r="H23" s="310"/>
      <c r="I23" s="310"/>
      <c r="J23" s="310"/>
      <c r="K23" s="310"/>
      <c r="L23" s="310"/>
      <c r="M23" s="310"/>
      <c r="N23" s="310"/>
      <c r="O23" s="310"/>
      <c r="P23" s="310"/>
      <c r="Q23" s="310"/>
      <c r="R23" s="310"/>
      <c r="S23" s="310"/>
      <c r="T23" s="310"/>
    </row>
    <row r="24" spans="1:22">
      <c r="A24" s="310"/>
      <c r="B24" s="310"/>
      <c r="C24" s="310"/>
      <c r="D24" s="310"/>
      <c r="E24" s="310"/>
      <c r="F24" s="310"/>
      <c r="G24" s="310"/>
      <c r="H24" s="310"/>
      <c r="I24" s="310"/>
      <c r="J24" s="310"/>
      <c r="K24" s="310"/>
      <c r="L24" s="310"/>
      <c r="M24" s="310"/>
      <c r="N24" s="310"/>
      <c r="O24" s="310"/>
      <c r="P24" s="310"/>
      <c r="Q24" s="310"/>
      <c r="R24" s="310"/>
      <c r="S24" s="310"/>
      <c r="T24" s="310"/>
      <c r="V24" s="287"/>
    </row>
    <row r="25" spans="1:22">
      <c r="A25" s="310"/>
      <c r="B25" s="310"/>
      <c r="C25" s="310"/>
      <c r="D25" s="310"/>
      <c r="E25" s="310"/>
      <c r="F25" s="310"/>
      <c r="G25" s="310"/>
      <c r="H25" s="310"/>
      <c r="I25" s="310"/>
      <c r="J25" s="310"/>
      <c r="K25" s="310"/>
      <c r="L25" s="310"/>
      <c r="M25" s="310"/>
      <c r="N25" s="310"/>
      <c r="O25" s="310"/>
      <c r="P25" s="310"/>
      <c r="Q25" s="310"/>
      <c r="R25" s="310"/>
      <c r="S25" s="310"/>
      <c r="T25" s="310"/>
    </row>
    <row r="26" spans="1:22">
      <c r="A26" s="310"/>
      <c r="B26" s="310"/>
      <c r="C26" s="310"/>
      <c r="D26" s="310"/>
      <c r="E26" s="310"/>
      <c r="F26" s="310"/>
      <c r="G26" s="310"/>
      <c r="H26" s="310"/>
      <c r="I26" s="310"/>
      <c r="J26" s="310"/>
      <c r="K26" s="310"/>
      <c r="L26" s="310"/>
      <c r="M26" s="310"/>
      <c r="N26" s="310"/>
      <c r="O26" s="310"/>
      <c r="P26" s="310"/>
      <c r="Q26" s="310"/>
      <c r="R26" s="310"/>
      <c r="S26" s="310"/>
      <c r="T26" s="310"/>
    </row>
    <row r="27" spans="1:22">
      <c r="A27" s="310"/>
      <c r="B27" s="310"/>
      <c r="C27" s="310"/>
      <c r="D27" s="310"/>
      <c r="E27" s="310"/>
      <c r="F27" s="310"/>
      <c r="G27" s="310"/>
      <c r="H27" s="310"/>
      <c r="I27" s="310"/>
      <c r="J27" s="310"/>
      <c r="K27" s="310"/>
      <c r="L27" s="310"/>
      <c r="M27" s="310"/>
      <c r="N27" s="310"/>
      <c r="O27" s="310"/>
      <c r="P27" s="310"/>
      <c r="Q27" s="310"/>
      <c r="R27" s="310"/>
      <c r="S27" s="310"/>
      <c r="T27" s="310"/>
    </row>
    <row r="28" spans="1:22">
      <c r="A28" s="310"/>
      <c r="B28" s="310"/>
      <c r="C28" s="310"/>
      <c r="D28" s="310"/>
      <c r="E28" s="310"/>
      <c r="F28" s="310"/>
      <c r="G28" s="310"/>
      <c r="H28" s="310"/>
      <c r="I28" s="310"/>
      <c r="J28" s="310"/>
      <c r="K28" s="310"/>
      <c r="L28" s="310"/>
      <c r="M28" s="310"/>
      <c r="N28" s="310"/>
      <c r="O28" s="310"/>
      <c r="P28" s="310"/>
      <c r="Q28" s="310"/>
      <c r="R28" s="310"/>
      <c r="S28" s="310"/>
      <c r="T28" s="310"/>
    </row>
    <row r="29" spans="1:22">
      <c r="A29" s="412" t="s">
        <v>1767</v>
      </c>
      <c r="B29" s="310"/>
      <c r="C29" s="310"/>
      <c r="D29" s="310"/>
      <c r="E29" s="310"/>
      <c r="F29" s="310"/>
      <c r="G29" s="310"/>
      <c r="H29" s="310"/>
      <c r="I29" s="310"/>
      <c r="J29" s="310"/>
      <c r="K29" s="310"/>
      <c r="L29" s="310"/>
      <c r="M29" s="310"/>
      <c r="N29" s="310"/>
      <c r="O29" s="310"/>
      <c r="P29" s="464"/>
      <c r="Q29" s="464"/>
      <c r="R29" s="310"/>
      <c r="S29" s="310"/>
      <c r="T29" s="310"/>
    </row>
    <row r="30" spans="1:22" s="276" customFormat="1" ht="12.75">
      <c r="A30" s="561"/>
      <c r="B30" s="561"/>
      <c r="C30" s="561"/>
      <c r="D30" s="561"/>
      <c r="E30" s="561"/>
      <c r="F30" s="561"/>
      <c r="G30" s="561"/>
      <c r="H30" s="561"/>
      <c r="I30" s="561"/>
      <c r="J30" s="561"/>
      <c r="K30" s="561"/>
      <c r="L30" s="561"/>
      <c r="M30" s="561"/>
      <c r="N30" s="561"/>
      <c r="O30" s="561"/>
      <c r="P30" s="561"/>
      <c r="Q30" s="561"/>
      <c r="R30" s="561"/>
      <c r="S30" s="561"/>
      <c r="T30" s="561"/>
    </row>
    <row r="31" spans="1:22" s="308" customFormat="1" ht="12">
      <c r="A31" s="530"/>
      <c r="B31" s="530"/>
      <c r="C31" s="530"/>
      <c r="D31" s="530"/>
      <c r="E31" s="530"/>
      <c r="F31" s="530"/>
      <c r="G31" s="530"/>
      <c r="H31" s="530"/>
      <c r="I31" s="530"/>
      <c r="J31" s="530"/>
      <c r="K31" s="530"/>
      <c r="L31" s="530"/>
      <c r="M31" s="530"/>
      <c r="N31" s="530"/>
      <c r="O31" s="530"/>
      <c r="P31" s="530"/>
      <c r="Q31" s="530"/>
      <c r="R31" s="530"/>
      <c r="S31" s="530"/>
      <c r="T31" s="530"/>
    </row>
    <row r="32" spans="1:22" s="216" customFormat="1" ht="12">
      <c r="A32" s="403"/>
      <c r="B32" s="403"/>
      <c r="C32" s="403"/>
      <c r="D32" s="403"/>
      <c r="E32" s="403"/>
      <c r="F32" s="403"/>
      <c r="G32" s="403"/>
      <c r="H32" s="403"/>
      <c r="I32" s="403"/>
      <c r="J32" s="403"/>
      <c r="K32" s="403"/>
      <c r="L32" s="403"/>
      <c r="M32" s="403"/>
      <c r="N32" s="403"/>
      <c r="O32" s="403"/>
      <c r="P32" s="403"/>
      <c r="Q32" s="403"/>
      <c r="R32" s="403"/>
      <c r="S32" s="403"/>
      <c r="T32" s="403"/>
    </row>
    <row r="33" spans="1:22" s="216" customFormat="1" ht="12">
      <c r="A33" s="403"/>
      <c r="B33" s="403"/>
      <c r="C33" s="403"/>
      <c r="D33" s="403"/>
      <c r="E33" s="403"/>
      <c r="F33" s="403"/>
      <c r="G33" s="403"/>
      <c r="H33" s="403"/>
      <c r="I33" s="403"/>
      <c r="J33" s="403"/>
      <c r="K33" s="403"/>
      <c r="L33" s="403"/>
      <c r="M33" s="403"/>
      <c r="N33" s="403"/>
      <c r="O33" s="403"/>
      <c r="P33" s="403"/>
      <c r="Q33" s="403"/>
      <c r="R33" s="403"/>
      <c r="S33" s="403"/>
      <c r="T33" s="403"/>
    </row>
    <row r="34" spans="1:22" s="216" customFormat="1" ht="12">
      <c r="A34" s="403"/>
      <c r="B34" s="403"/>
      <c r="C34" s="403"/>
      <c r="D34" s="403"/>
      <c r="E34" s="403"/>
      <c r="F34" s="403"/>
      <c r="G34" s="403"/>
      <c r="H34" s="403"/>
      <c r="I34" s="403"/>
      <c r="J34" s="403"/>
      <c r="K34" s="403"/>
      <c r="L34" s="403"/>
      <c r="M34" s="403"/>
      <c r="N34" s="403"/>
      <c r="O34" s="403"/>
      <c r="P34" s="403"/>
      <c r="Q34" s="403"/>
      <c r="R34" s="403"/>
      <c r="S34" s="403"/>
      <c r="T34" s="403"/>
    </row>
    <row r="35" spans="1:22" s="216" customFormat="1" ht="12">
      <c r="A35" s="403"/>
      <c r="B35" s="403"/>
      <c r="C35" s="403"/>
      <c r="D35" s="403"/>
      <c r="E35" s="403"/>
      <c r="F35" s="403"/>
      <c r="G35" s="403"/>
      <c r="H35" s="403"/>
      <c r="I35" s="403"/>
      <c r="J35" s="403"/>
      <c r="K35" s="403"/>
      <c r="L35" s="403"/>
      <c r="M35" s="403"/>
      <c r="N35" s="403"/>
      <c r="O35" s="403"/>
      <c r="P35" s="403"/>
      <c r="Q35" s="403"/>
      <c r="R35" s="403"/>
      <c r="S35" s="403"/>
      <c r="T35" s="403"/>
    </row>
    <row r="36" spans="1:22" s="216" customFormat="1" ht="12">
      <c r="A36" s="403"/>
      <c r="B36" s="403"/>
      <c r="C36" s="403"/>
      <c r="D36" s="403"/>
      <c r="E36" s="403"/>
      <c r="F36" s="403"/>
      <c r="G36" s="403"/>
      <c r="H36" s="403"/>
      <c r="I36" s="403"/>
      <c r="J36" s="403"/>
      <c r="K36" s="403"/>
      <c r="L36" s="403"/>
      <c r="M36" s="403"/>
      <c r="N36" s="403"/>
      <c r="O36" s="403"/>
      <c r="P36" s="403"/>
      <c r="Q36" s="403"/>
      <c r="R36" s="403"/>
      <c r="S36" s="403"/>
      <c r="T36" s="403"/>
    </row>
    <row r="37" spans="1:22">
      <c r="A37" s="310"/>
      <c r="B37" s="310"/>
      <c r="C37" s="310"/>
      <c r="D37" s="310"/>
      <c r="E37" s="310"/>
      <c r="F37" s="310"/>
      <c r="G37" s="310"/>
      <c r="H37" s="310"/>
      <c r="I37" s="310"/>
      <c r="J37" s="310"/>
      <c r="K37" s="310"/>
      <c r="L37" s="310"/>
      <c r="M37" s="310"/>
      <c r="N37" s="310"/>
      <c r="O37" s="310"/>
      <c r="P37" s="310"/>
      <c r="Q37" s="310"/>
      <c r="R37" s="310"/>
      <c r="S37" s="310"/>
      <c r="T37" s="310"/>
      <c r="V37" s="287"/>
    </row>
    <row r="38" spans="1:22">
      <c r="A38" s="310"/>
      <c r="B38" s="310"/>
      <c r="C38" s="310"/>
      <c r="D38" s="310"/>
      <c r="E38" s="310"/>
      <c r="F38" s="310"/>
      <c r="G38" s="310"/>
      <c r="H38" s="310"/>
      <c r="I38" s="310"/>
      <c r="J38" s="310"/>
      <c r="K38" s="310"/>
      <c r="L38" s="310"/>
      <c r="M38" s="310"/>
      <c r="N38" s="310"/>
      <c r="O38" s="310"/>
      <c r="P38" s="310"/>
      <c r="Q38" s="310"/>
      <c r="R38" s="310"/>
      <c r="S38" s="310"/>
      <c r="T38" s="310"/>
    </row>
    <row r="39" spans="1:22">
      <c r="A39" s="310"/>
      <c r="B39" s="310"/>
      <c r="C39" s="310"/>
      <c r="D39" s="310"/>
      <c r="E39" s="310"/>
      <c r="F39" s="310"/>
      <c r="G39" s="310"/>
      <c r="H39" s="310"/>
      <c r="I39" s="310"/>
      <c r="J39" s="310"/>
      <c r="K39" s="310"/>
      <c r="L39" s="310"/>
      <c r="M39" s="310"/>
      <c r="N39" s="310"/>
      <c r="O39" s="310"/>
      <c r="P39" s="310"/>
      <c r="Q39" s="310"/>
      <c r="R39" s="310"/>
      <c r="S39" s="310"/>
      <c r="T39" s="310"/>
    </row>
    <row r="40" spans="1:22">
      <c r="A40" s="310"/>
      <c r="B40" s="310"/>
      <c r="C40" s="310"/>
      <c r="D40" s="310"/>
      <c r="E40" s="310"/>
      <c r="F40" s="310"/>
      <c r="G40" s="310"/>
      <c r="H40" s="310"/>
      <c r="I40" s="310"/>
      <c r="J40" s="310"/>
      <c r="K40" s="310"/>
      <c r="L40" s="310"/>
      <c r="M40" s="310"/>
      <c r="N40" s="310"/>
      <c r="O40" s="310"/>
      <c r="P40" s="310"/>
      <c r="Q40" s="310"/>
      <c r="R40" s="310"/>
      <c r="S40" s="310"/>
      <c r="T40" s="310"/>
    </row>
    <row r="41" spans="1:22">
      <c r="A41" s="310"/>
      <c r="B41" s="310"/>
      <c r="C41" s="310"/>
      <c r="D41" s="310"/>
      <c r="E41" s="310"/>
      <c r="F41" s="310"/>
      <c r="G41" s="310"/>
      <c r="H41" s="310"/>
      <c r="I41" s="310"/>
      <c r="J41" s="310"/>
      <c r="K41" s="310"/>
      <c r="L41" s="310"/>
      <c r="M41" s="310"/>
      <c r="N41" s="310"/>
      <c r="O41" s="310"/>
      <c r="P41" s="310"/>
      <c r="Q41" s="310"/>
      <c r="R41" s="310"/>
      <c r="S41" s="310"/>
      <c r="T41" s="310"/>
    </row>
    <row r="42" spans="1:22">
      <c r="A42" s="310"/>
      <c r="B42" s="310"/>
      <c r="C42" s="310"/>
      <c r="D42" s="310"/>
      <c r="E42" s="310"/>
      <c r="F42" s="310"/>
      <c r="G42" s="310"/>
      <c r="H42" s="310"/>
      <c r="I42" s="310"/>
      <c r="J42" s="310"/>
      <c r="K42" s="310"/>
      <c r="L42" s="310"/>
      <c r="M42" s="310"/>
      <c r="N42" s="310"/>
      <c r="O42" s="310"/>
      <c r="P42" s="310"/>
      <c r="Q42" s="310"/>
      <c r="R42" s="310"/>
      <c r="S42" s="310"/>
      <c r="T42" s="310"/>
    </row>
    <row r="43" spans="1:22">
      <c r="A43" s="412" t="s">
        <v>1782</v>
      </c>
      <c r="B43" s="412"/>
      <c r="C43" s="412"/>
      <c r="D43" s="412"/>
      <c r="E43" s="412"/>
      <c r="F43" s="412"/>
      <c r="G43" s="412"/>
      <c r="H43" s="310"/>
      <c r="I43" s="310"/>
      <c r="J43" s="310"/>
      <c r="K43" s="310"/>
      <c r="L43" s="310"/>
      <c r="M43" s="310"/>
      <c r="N43" s="310"/>
      <c r="O43" s="310"/>
      <c r="P43" s="310"/>
      <c r="Q43" s="310"/>
      <c r="R43" s="310"/>
      <c r="S43" s="310"/>
      <c r="T43" s="310"/>
    </row>
    <row r="44" spans="1:22" ht="6.75" customHeight="1" thickBot="1">
      <c r="A44" s="412"/>
      <c r="B44" s="310"/>
      <c r="C44" s="310"/>
      <c r="D44" s="310"/>
      <c r="E44" s="413"/>
      <c r="F44" s="310"/>
      <c r="G44" s="310"/>
      <c r="H44" s="310"/>
      <c r="I44" s="310"/>
      <c r="J44" s="310"/>
      <c r="K44" s="310"/>
      <c r="L44" s="310"/>
      <c r="M44" s="310"/>
      <c r="N44" s="310"/>
      <c r="O44" s="310"/>
      <c r="P44" s="310"/>
      <c r="Q44" s="310"/>
      <c r="R44" s="310"/>
      <c r="S44" s="310"/>
      <c r="T44" s="310"/>
    </row>
    <row r="45" spans="1:22" ht="16.5" thickTop="1" thickBot="1">
      <c r="A45" s="412"/>
      <c r="B45" s="561"/>
      <c r="C45" s="561"/>
      <c r="D45" s="561"/>
      <c r="E45" s="413"/>
      <c r="F45" s="564"/>
      <c r="G45" s="1293" t="s">
        <v>562</v>
      </c>
      <c r="H45" s="1294"/>
      <c r="I45" s="1294"/>
      <c r="J45" s="1294"/>
      <c r="K45" s="1294"/>
      <c r="L45" s="1295"/>
      <c r="M45" s="557"/>
      <c r="N45" s="1296" t="s">
        <v>914</v>
      </c>
      <c r="O45" s="1297"/>
      <c r="P45" s="1297"/>
      <c r="Q45" s="1297"/>
      <c r="R45" s="1297"/>
      <c r="S45" s="1297"/>
      <c r="T45" s="1298"/>
    </row>
    <row r="46" spans="1:22" ht="15.75" thickTop="1">
      <c r="A46" s="530"/>
      <c r="B46" s="530"/>
      <c r="C46" s="530"/>
      <c r="D46" s="530"/>
      <c r="E46" s="530"/>
      <c r="F46" s="530"/>
      <c r="G46" s="1398"/>
      <c r="H46" s="1398"/>
      <c r="I46" s="1398"/>
      <c r="J46" s="1398"/>
      <c r="K46" s="1398"/>
      <c r="L46" s="1398"/>
      <c r="M46" s="530"/>
      <c r="N46" s="530"/>
      <c r="O46" s="1398"/>
      <c r="P46" s="1398"/>
      <c r="Q46" s="1398"/>
      <c r="R46" s="1398"/>
      <c r="S46" s="1398"/>
      <c r="T46" s="1398"/>
    </row>
    <row r="47" spans="1:22" ht="24" customHeight="1">
      <c r="A47" s="1392" t="s">
        <v>1187</v>
      </c>
      <c r="B47" s="1392"/>
      <c r="C47" s="1392"/>
      <c r="D47" s="1392"/>
      <c r="E47" s="1392"/>
      <c r="F47" s="1393"/>
      <c r="G47" s="1394" t="s">
        <v>1239</v>
      </c>
      <c r="H47" s="1395"/>
      <c r="I47" s="1396" t="s">
        <v>1432</v>
      </c>
      <c r="J47" s="1397"/>
      <c r="K47" s="1387" t="s">
        <v>1188</v>
      </c>
      <c r="L47" s="1388"/>
      <c r="M47" s="403"/>
      <c r="N47" s="403"/>
      <c r="O47" s="1394" t="s">
        <v>1239</v>
      </c>
      <c r="P47" s="1395"/>
      <c r="Q47" s="1396" t="s">
        <v>1432</v>
      </c>
      <c r="R47" s="1397"/>
      <c r="S47" s="1387" t="s">
        <v>1188</v>
      </c>
      <c r="T47" s="1388"/>
    </row>
    <row r="48" spans="1:22">
      <c r="A48" s="1389" t="s">
        <v>917</v>
      </c>
      <c r="B48" s="1390"/>
      <c r="C48" s="1390"/>
      <c r="D48" s="1390"/>
      <c r="E48" s="1390"/>
      <c r="F48" s="1391"/>
      <c r="G48" s="1017">
        <f>VLOOKUP($G$45,'D_Ch7-1'!$B$55:$AB$77,MATCH("Nb de nuités dans hotels N-1",'D_Ch7-1'!$B$5:$AB$5,0),FALSE)</f>
        <v>542826</v>
      </c>
      <c r="H48" s="1016"/>
      <c r="I48" s="1044">
        <f>VLOOKUP($G$45,'D_Ch7-1'!$B$55:$AB$77,MATCH("Evolution nuit hotel",'D_Ch7-1'!$B$5:$AB$5,0),FALSE)</f>
        <v>-2.612779468183622E-3</v>
      </c>
      <c r="J48" s="1045"/>
      <c r="K48" s="1044">
        <f>VLOOKUP($G$45,'D_Ch7-1'!$B$55:$AB$77,MATCH("Taux d'occu moyen Hotel N-1",'D_Ch7-1'!$B$5:$AB$5,0),FALSE)</f>
        <v>0.46835833867390952</v>
      </c>
      <c r="L48" s="1045"/>
      <c r="M48" s="403"/>
      <c r="N48" s="403"/>
      <c r="O48" s="1017">
        <f>VLOOKUP($N$45,'D_Ch7-1'!$B$55:$AB$77,MATCH("Nb de nuités dans hotels N-1",'D_Ch7-1'!$B$5:$AB$5,0),FALSE)</f>
        <v>628128</v>
      </c>
      <c r="P48" s="1016"/>
      <c r="Q48" s="1044">
        <f>VLOOKUP($N$45,'D_Ch7-1'!$B$55:$AB$77,MATCH("Evolution nuit hotel",'D_Ch7-1'!$B$5:$AB$5,0),FALSE)</f>
        <v>-2.5344436610324522E-3</v>
      </c>
      <c r="R48" s="1045"/>
      <c r="S48" s="1044">
        <f>VLOOKUP($N$45,'D_Ch7-1'!$B$55:$AB$77,MATCH("Taux d'occu moyen Hotel N-1",'D_Ch7-1'!$B$5:$AB$5,0),FALSE)</f>
        <v>0.46205000559488929</v>
      </c>
      <c r="T48" s="1045"/>
    </row>
    <row r="49" spans="1:20">
      <c r="A49" s="1389" t="s">
        <v>918</v>
      </c>
      <c r="B49" s="1390"/>
      <c r="C49" s="1390"/>
      <c r="D49" s="1390"/>
      <c r="E49" s="1390"/>
      <c r="F49" s="1391"/>
      <c r="G49" s="1017">
        <f>VLOOKUP($G$45,'D_Ch7-1'!$B$55:$AB$77,MATCH("Nb de nuités dans campings N-1",'D_Ch7-1'!$B$5:$AB$5,0),FALSE)</f>
        <v>959176</v>
      </c>
      <c r="H49" s="1016"/>
      <c r="I49" s="1044">
        <f>VLOOKUP($G$45,'D_Ch7-1'!$B$55:$AB$77,MATCH("Evolution nuit camping",'D_Ch7-1'!$B$5:$AB$5,0),FALSE)</f>
        <v>4.5227488688768969E-2</v>
      </c>
      <c r="J49" s="1045"/>
      <c r="K49" s="1044">
        <f>VLOOKUP($G$45,'D_Ch7-1'!$B$55:$AB$77,MATCH("Taux d'occu moyen camping N-1",'D_Ch7-1'!$B$5:$AB$5,0),FALSE)</f>
        <v>0.34330001831054685</v>
      </c>
      <c r="L49" s="1045"/>
      <c r="M49" s="403"/>
      <c r="N49" s="403"/>
      <c r="O49" s="1017">
        <f>VLOOKUP($N$45,'D_Ch7-1'!$B$55:$AB$77,MATCH("Nb de nuités dans campings N-1",'D_Ch7-1'!$B$5:$AB$5,0),FALSE)</f>
        <v>223468</v>
      </c>
      <c r="P49" s="1016"/>
      <c r="Q49" s="1044">
        <f>VLOOKUP($N$45,'D_Ch7-1'!$B$55:$AB$77,MATCH("Evolution nuit camping",'D_Ch7-1'!$B$5:$AB$5,0),FALSE)</f>
        <v>-7.6490740855535852E-2</v>
      </c>
      <c r="R49" s="1045"/>
      <c r="S49" s="1044">
        <f>VLOOKUP($N$45,'D_Ch7-1'!$B$55:$AB$77,MATCH("Taux d'occu moyen camping N-1",'D_Ch7-1'!$B$5:$AB$5,0),FALSE)</f>
        <v>0.31850000381469729</v>
      </c>
      <c r="T49" s="1045"/>
    </row>
    <row r="50" spans="1:20" ht="8.25" customHeight="1">
      <c r="A50" s="310"/>
      <c r="B50" s="310"/>
      <c r="C50" s="310"/>
      <c r="D50" s="310"/>
      <c r="E50" s="310"/>
      <c r="F50" s="310"/>
      <c r="G50" s="310"/>
      <c r="H50" s="310"/>
      <c r="I50" s="310"/>
      <c r="J50" s="310"/>
      <c r="K50" s="310"/>
      <c r="L50" s="310"/>
      <c r="M50" s="310"/>
      <c r="N50" s="310"/>
      <c r="O50" s="310"/>
      <c r="P50" s="310"/>
      <c r="Q50" s="310"/>
      <c r="R50" s="310"/>
      <c r="S50" s="310"/>
      <c r="T50" s="310"/>
    </row>
    <row r="51" spans="1:20" ht="36" customHeight="1">
      <c r="A51" s="1409" t="s">
        <v>1138</v>
      </c>
      <c r="B51" s="1409"/>
      <c r="C51" s="1409"/>
      <c r="D51" s="1409"/>
      <c r="E51" s="1409"/>
      <c r="F51" s="1410"/>
      <c r="G51" s="1394" t="s">
        <v>1239</v>
      </c>
      <c r="H51" s="1395"/>
      <c r="I51" s="1411" t="s">
        <v>1432</v>
      </c>
      <c r="J51" s="1412"/>
      <c r="K51" s="1411" t="s">
        <v>1252</v>
      </c>
      <c r="L51" s="1412"/>
      <c r="M51" s="403"/>
      <c r="N51" s="403"/>
      <c r="O51" s="1394" t="s">
        <v>1239</v>
      </c>
      <c r="P51" s="1395"/>
      <c r="Q51" s="1411" t="s">
        <v>1432</v>
      </c>
      <c r="R51" s="1412"/>
      <c r="S51" s="1411" t="s">
        <v>1252</v>
      </c>
      <c r="T51" s="1412"/>
    </row>
    <row r="52" spans="1:20">
      <c r="A52" s="1389" t="s">
        <v>917</v>
      </c>
      <c r="B52" s="1390"/>
      <c r="C52" s="1390"/>
      <c r="D52" s="1390"/>
      <c r="E52" s="1390"/>
      <c r="F52" s="1391"/>
      <c r="G52" s="1017">
        <f>VLOOKUP($G$45,'D_Ch7-1'!$B$55:$AB$77,MATCH("Nuitées etrang H_N-1",'D_Ch7-1'!$B$5:$AB$5,0),FALSE)</f>
        <v>123956</v>
      </c>
      <c r="H52" s="1016"/>
      <c r="I52" s="1044">
        <f>VLOOKUP($G$45,'D_Ch7-1'!$B$55:$AB$77,MATCH("Evol Nuités Etrang Hotel",'D_Ch7-1'!$B$5:$AB$5,0),FALSE)</f>
        <v>-3.6696249553148166E-2</v>
      </c>
      <c r="J52" s="1045"/>
      <c r="K52" s="1044">
        <f>VLOOKUP($G$45,'D_Ch7-1'!$B$55:$AB$77,MATCH("Part nuités étrnag H_N-1",'D_Ch7-1'!$B$5:$AB$5,0),FALSE)</f>
        <v>0.22835310025680419</v>
      </c>
      <c r="L52" s="1045"/>
      <c r="M52" s="403"/>
      <c r="N52" s="403"/>
      <c r="O52" s="1017">
        <f>VLOOKUP($N$45,'D_Ch7-1'!$B$55:$AB$77,MATCH("Nuitées etrang H_N-1",'D_Ch7-1'!$B$5:$AB$5,0),FALSE)</f>
        <v>92440</v>
      </c>
      <c r="P52" s="1016"/>
      <c r="Q52" s="1044">
        <f>VLOOKUP($N$45,'D_Ch7-1'!$B$55:$AB$77,MATCH("Evol Nuités Etrang Hotel",'D_Ch7-1'!$B$5:$AB$5,0),FALSE)</f>
        <v>1.1334296092074744E-2</v>
      </c>
      <c r="R52" s="1045"/>
      <c r="S52" s="1044">
        <f>VLOOKUP($N$45,'D_Ch7-1'!$B$55:$AB$77,MATCH("Part nuités étrnag H_N-1",'D_Ch7-1'!$B$5:$AB$5,0),FALSE)</f>
        <v>0.14716745631463651</v>
      </c>
      <c r="T52" s="1045"/>
    </row>
    <row r="53" spans="1:20">
      <c r="A53" s="1389" t="s">
        <v>918</v>
      </c>
      <c r="B53" s="1390"/>
      <c r="C53" s="1390"/>
      <c r="D53" s="1390"/>
      <c r="E53" s="1390"/>
      <c r="F53" s="1391"/>
      <c r="G53" s="1017">
        <f>VLOOKUP($G$45,'D_Ch7-1'!$B$55:$AB$77,MATCH("Nuitées etrang C_N-1",'D_Ch7-1'!$B$5:$AB$5,0),FALSE)</f>
        <v>376800</v>
      </c>
      <c r="H53" s="1016"/>
      <c r="I53" s="1044">
        <f>VLOOKUP($G$45,'D_Ch7-1'!$B$55:$AB$77,MATCH("Evol nuités Etrang camping",'D_Ch7-1'!$B$5:$AB$5,0),FALSE)</f>
        <v>8.3197079940378546E-3</v>
      </c>
      <c r="J53" s="1045"/>
      <c r="K53" s="1044">
        <f>VLOOKUP($G$45,'D_Ch7-1'!$B$55:$AB$77,MATCH("Part nuités étrang C_N-1",'D_Ch7-1'!$B$5:$AB$5,0),FALSE)</f>
        <v>0.39283718525067352</v>
      </c>
      <c r="L53" s="1045"/>
      <c r="M53" s="403"/>
      <c r="N53" s="403"/>
      <c r="O53" s="1017">
        <f>VLOOKUP($N$45,'D_Ch7-1'!$B$55:$AB$77,MATCH("Nuitées etrang C_N-1",'D_Ch7-1'!$B$5:$AB$5,0),FALSE)</f>
        <v>32832</v>
      </c>
      <c r="P53" s="1016"/>
      <c r="Q53" s="1044">
        <f>VLOOKUP($N$45,'D_Ch7-1'!$B$55:$AB$77,MATCH("Evol nuités Etrang camping",'D_Ch7-1'!$B$5:$AB$5,0),FALSE)</f>
        <v>-0.31218837725730086</v>
      </c>
      <c r="R53" s="1045"/>
      <c r="S53" s="1044">
        <f>VLOOKUP($N$45,'D_Ch7-1'!$B$55:$AB$77,MATCH("Part nuités étrang C_N-1",'D_Ch7-1'!$B$5:$AB$5,0),FALSE)</f>
        <v>0.14692036443696638</v>
      </c>
      <c r="T53" s="1045"/>
    </row>
    <row r="54" spans="1:20" s="198" customFormat="1" ht="15" customHeight="1">
      <c r="A54" s="324"/>
      <c r="B54" s="427"/>
      <c r="C54" s="428"/>
      <c r="D54" s="428"/>
      <c r="E54" s="428"/>
      <c r="F54" s="1104" t="s">
        <v>1039</v>
      </c>
      <c r="G54" s="1105"/>
      <c r="H54" s="1105"/>
      <c r="I54" s="1105"/>
      <c r="J54" s="1105"/>
      <c r="K54" s="1105"/>
      <c r="L54" s="1105"/>
      <c r="M54" s="1105"/>
      <c r="N54" s="1105"/>
      <c r="O54" s="1105"/>
      <c r="P54" s="1105"/>
      <c r="Q54" s="1105"/>
      <c r="R54" s="1105"/>
      <c r="S54" s="1105"/>
      <c r="T54" s="1105"/>
    </row>
    <row r="55" spans="1:20" s="198" customFormat="1" ht="12.75" customHeight="1">
      <c r="A55" s="429"/>
      <c r="B55" s="428"/>
      <c r="C55" s="428"/>
      <c r="D55" s="428"/>
      <c r="E55" s="428"/>
      <c r="F55" s="1104"/>
      <c r="G55" s="1105"/>
      <c r="H55" s="1105"/>
      <c r="I55" s="1105"/>
      <c r="J55" s="1105"/>
      <c r="K55" s="1105"/>
      <c r="L55" s="1105"/>
      <c r="M55" s="1105"/>
      <c r="N55" s="1105"/>
      <c r="O55" s="1105"/>
      <c r="P55" s="1105"/>
      <c r="Q55" s="1105"/>
      <c r="R55" s="1105"/>
      <c r="S55" s="1105"/>
      <c r="T55" s="1105"/>
    </row>
    <row r="56" spans="1:20" s="198" customFormat="1" ht="15" customHeight="1">
      <c r="A56" s="430"/>
      <c r="B56" s="428"/>
      <c r="C56" s="428"/>
      <c r="D56" s="428"/>
      <c r="E56" s="428"/>
      <c r="F56" s="1104"/>
      <c r="G56" s="1105"/>
      <c r="H56" s="1105"/>
      <c r="I56" s="1105"/>
      <c r="J56" s="1105"/>
      <c r="K56" s="1105"/>
      <c r="L56" s="1105"/>
      <c r="M56" s="1105"/>
      <c r="N56" s="1105"/>
      <c r="O56" s="1105"/>
      <c r="P56" s="1105"/>
      <c r="Q56" s="1105"/>
      <c r="R56" s="1105"/>
      <c r="S56" s="1105"/>
      <c r="T56" s="1105"/>
    </row>
    <row r="57" spans="1:20" s="198" customFormat="1" ht="12.75" customHeight="1">
      <c r="A57" s="430"/>
      <c r="B57" s="428"/>
      <c r="C57" s="428"/>
      <c r="D57" s="428"/>
      <c r="E57" s="428"/>
      <c r="F57" s="1104"/>
      <c r="G57" s="1105"/>
      <c r="H57" s="1105"/>
      <c r="I57" s="1105"/>
      <c r="J57" s="1105"/>
      <c r="K57" s="1105"/>
      <c r="L57" s="1105"/>
      <c r="M57" s="1105"/>
      <c r="N57" s="1105"/>
      <c r="O57" s="1105"/>
      <c r="P57" s="1105"/>
      <c r="Q57" s="1105"/>
      <c r="R57" s="1105"/>
      <c r="S57" s="1105"/>
      <c r="T57" s="1105"/>
    </row>
    <row r="58" spans="1:20" s="198" customFormat="1" ht="5.25" customHeight="1">
      <c r="A58" s="431"/>
      <c r="B58" s="432"/>
      <c r="C58" s="431"/>
      <c r="D58" s="431"/>
      <c r="E58" s="431"/>
      <c r="F58" s="433"/>
      <c r="G58" s="433"/>
      <c r="H58" s="383"/>
      <c r="I58" s="383"/>
      <c r="J58" s="383"/>
      <c r="K58" s="383"/>
      <c r="L58" s="383"/>
      <c r="M58" s="383"/>
      <c r="N58" s="383"/>
      <c r="O58" s="383"/>
      <c r="P58" s="383"/>
      <c r="Q58" s="383"/>
      <c r="R58" s="383"/>
      <c r="S58" s="383"/>
      <c r="T58" s="383"/>
    </row>
    <row r="59" spans="1:20" s="198" customFormat="1" ht="15" customHeight="1">
      <c r="A59" s="1102" t="s">
        <v>910</v>
      </c>
      <c r="B59" s="1102"/>
      <c r="C59" s="1102"/>
      <c r="D59" s="1102"/>
      <c r="E59" s="1102"/>
      <c r="F59" s="1102"/>
      <c r="G59" s="1102"/>
      <c r="H59" s="1102"/>
      <c r="I59" s="1102"/>
      <c r="J59" s="1102"/>
      <c r="K59" s="1102"/>
      <c r="L59" s="1102"/>
      <c r="M59" s="1102"/>
      <c r="N59" s="1102"/>
      <c r="O59" s="1102"/>
      <c r="P59" s="1102"/>
      <c r="Q59" s="1102"/>
      <c r="R59" s="1102"/>
      <c r="S59" s="1102"/>
      <c r="T59" s="1102"/>
    </row>
    <row r="60" spans="1:20" s="198" customFormat="1" ht="15" customHeight="1">
      <c r="A60" s="1102"/>
      <c r="B60" s="1102"/>
      <c r="C60" s="1102"/>
      <c r="D60" s="1102"/>
      <c r="E60" s="1102"/>
      <c r="F60" s="1102"/>
      <c r="G60" s="1102"/>
      <c r="H60" s="1102"/>
      <c r="I60" s="1102"/>
      <c r="J60" s="1102"/>
      <c r="K60" s="1102"/>
      <c r="L60" s="1102"/>
      <c r="M60" s="1102"/>
      <c r="N60" s="1102"/>
      <c r="O60" s="1102"/>
      <c r="P60" s="1102"/>
      <c r="Q60" s="1102"/>
      <c r="R60" s="1102"/>
      <c r="S60" s="1102"/>
      <c r="T60" s="1102"/>
    </row>
    <row r="61" spans="1:20">
      <c r="A61" s="310"/>
      <c r="B61" s="310"/>
      <c r="C61" s="310"/>
      <c r="D61" s="310"/>
      <c r="E61" s="310"/>
      <c r="F61" s="310"/>
      <c r="G61" s="310"/>
      <c r="H61" s="310"/>
      <c r="I61" s="310"/>
      <c r="J61" s="310"/>
      <c r="K61" s="310"/>
      <c r="L61" s="310"/>
      <c r="M61" s="310"/>
      <c r="N61" s="310"/>
      <c r="O61" s="310"/>
      <c r="P61" s="310"/>
      <c r="Q61" s="310"/>
      <c r="R61" s="310"/>
      <c r="S61" s="310"/>
      <c r="T61" s="310"/>
    </row>
    <row r="62" spans="1:20">
      <c r="A62" s="412" t="s">
        <v>1783</v>
      </c>
      <c r="B62" s="310"/>
      <c r="C62" s="310"/>
      <c r="D62" s="310"/>
      <c r="E62" s="310"/>
      <c r="F62" s="873"/>
      <c r="G62" s="873"/>
      <c r="H62" s="873"/>
      <c r="I62" s="873"/>
      <c r="J62" s="873"/>
      <c r="K62" s="873"/>
      <c r="L62" s="873"/>
      <c r="M62" s="873"/>
      <c r="N62" s="873"/>
      <c r="O62" s="873"/>
      <c r="P62" s="873"/>
      <c r="Q62" s="873"/>
      <c r="R62" s="873"/>
      <c r="S62" s="873"/>
      <c r="T62" s="873"/>
    </row>
    <row r="63" spans="1:20">
      <c r="A63" s="310"/>
      <c r="B63" s="310"/>
      <c r="C63" s="310"/>
      <c r="D63" s="310"/>
      <c r="E63" s="310"/>
      <c r="F63" s="873"/>
      <c r="G63" s="873"/>
      <c r="H63" s="873"/>
      <c r="I63" s="873"/>
      <c r="J63" s="873"/>
      <c r="K63" s="873"/>
      <c r="L63" s="873"/>
      <c r="M63" s="873"/>
      <c r="N63" s="873"/>
      <c r="O63" s="873"/>
      <c r="P63" s="873"/>
      <c r="Q63" s="873"/>
      <c r="R63" s="873"/>
      <c r="S63" s="873"/>
      <c r="T63" s="873"/>
    </row>
    <row r="64" spans="1:20">
      <c r="A64" s="310"/>
      <c r="B64" s="310"/>
      <c r="C64" s="310"/>
      <c r="D64" s="310"/>
      <c r="E64" s="310"/>
      <c r="F64" s="310"/>
      <c r="G64" s="310"/>
      <c r="H64" s="310"/>
      <c r="I64" s="310"/>
      <c r="J64" s="310"/>
      <c r="K64" s="310"/>
      <c r="L64" s="310"/>
      <c r="M64" s="310"/>
      <c r="N64" s="310"/>
      <c r="O64" s="310"/>
      <c r="P64" s="310"/>
      <c r="Q64" s="310"/>
      <c r="R64" s="310"/>
      <c r="S64" s="310"/>
      <c r="T64" s="310"/>
    </row>
    <row r="65" spans="1:20">
      <c r="A65" s="310"/>
      <c r="B65" s="310"/>
      <c r="C65" s="310"/>
      <c r="D65" s="310"/>
      <c r="E65" s="310"/>
      <c r="F65" s="310"/>
      <c r="G65" s="310"/>
      <c r="H65" s="310"/>
      <c r="I65" s="310"/>
      <c r="J65" s="310"/>
      <c r="K65" s="310"/>
      <c r="L65" s="310"/>
      <c r="M65" s="310"/>
      <c r="N65" s="310"/>
      <c r="O65" s="310"/>
      <c r="P65" s="310"/>
      <c r="Q65" s="310"/>
      <c r="R65" s="310"/>
      <c r="S65" s="310"/>
      <c r="T65" s="310"/>
    </row>
    <row r="66" spans="1:20">
      <c r="A66" s="310"/>
      <c r="B66" s="310"/>
      <c r="C66" s="310"/>
      <c r="D66" s="310"/>
      <c r="E66" s="310"/>
      <c r="F66" s="310"/>
      <c r="G66" s="310"/>
      <c r="H66" s="310"/>
      <c r="I66" s="310"/>
      <c r="J66" s="310"/>
      <c r="K66" s="310"/>
      <c r="L66" s="310"/>
      <c r="M66" s="310"/>
      <c r="N66" s="310"/>
      <c r="O66" s="310"/>
      <c r="P66" s="310"/>
      <c r="Q66" s="310"/>
      <c r="R66" s="310"/>
      <c r="S66" s="310"/>
      <c r="T66" s="310"/>
    </row>
    <row r="67" spans="1:20">
      <c r="A67" s="310"/>
      <c r="B67" s="310"/>
      <c r="C67" s="310"/>
      <c r="D67" s="310"/>
      <c r="E67" s="310"/>
      <c r="F67" s="310"/>
      <c r="G67" s="310"/>
      <c r="H67" s="310"/>
      <c r="I67" s="310"/>
      <c r="J67" s="310"/>
      <c r="K67" s="310"/>
      <c r="L67" s="310"/>
      <c r="M67" s="310"/>
      <c r="N67" s="310"/>
      <c r="O67" s="310"/>
      <c r="P67" s="310"/>
      <c r="Q67" s="310"/>
      <c r="R67" s="310"/>
      <c r="S67" s="310"/>
      <c r="T67" s="310"/>
    </row>
    <row r="68" spans="1:20">
      <c r="A68" s="310"/>
      <c r="B68" s="310"/>
      <c r="C68" s="310"/>
      <c r="D68" s="310"/>
      <c r="E68" s="310"/>
      <c r="F68" s="310"/>
      <c r="G68" s="310"/>
      <c r="H68" s="310"/>
      <c r="I68" s="310"/>
      <c r="J68" s="310"/>
      <c r="K68" s="310"/>
      <c r="L68" s="310"/>
      <c r="M68" s="310"/>
      <c r="N68" s="310"/>
      <c r="O68" s="310"/>
      <c r="P68" s="310"/>
      <c r="Q68" s="310"/>
      <c r="R68" s="310"/>
      <c r="S68" s="310"/>
      <c r="T68" s="310"/>
    </row>
    <row r="69" spans="1:20">
      <c r="A69" s="310"/>
      <c r="B69" s="310"/>
      <c r="C69" s="310"/>
      <c r="D69" s="310"/>
      <c r="E69" s="310"/>
      <c r="F69" s="310"/>
      <c r="G69" s="310"/>
      <c r="H69" s="310"/>
      <c r="I69" s="310"/>
      <c r="J69" s="310"/>
      <c r="K69" s="310"/>
      <c r="L69" s="310"/>
      <c r="M69" s="310"/>
      <c r="N69" s="310"/>
      <c r="O69" s="310"/>
      <c r="P69" s="310"/>
      <c r="Q69" s="310"/>
      <c r="R69" s="310"/>
      <c r="S69" s="310"/>
      <c r="T69" s="310"/>
    </row>
    <row r="70" spans="1:20">
      <c r="A70" s="310"/>
      <c r="B70" s="310"/>
      <c r="C70" s="310"/>
      <c r="D70" s="310"/>
      <c r="E70" s="310"/>
      <c r="F70" s="310"/>
      <c r="G70" s="310"/>
      <c r="H70" s="310"/>
      <c r="I70" s="310"/>
      <c r="J70" s="310"/>
      <c r="K70" s="310"/>
      <c r="L70" s="310"/>
      <c r="M70" s="310"/>
      <c r="N70" s="310"/>
      <c r="O70" s="310"/>
      <c r="P70" s="310"/>
      <c r="Q70" s="310"/>
      <c r="R70" s="310"/>
      <c r="S70" s="310"/>
      <c r="T70" s="310"/>
    </row>
    <row r="71" spans="1:20">
      <c r="A71" s="310"/>
      <c r="B71" s="310"/>
      <c r="C71" s="310"/>
      <c r="D71" s="310"/>
      <c r="E71" s="310"/>
      <c r="F71" s="310"/>
      <c r="G71" s="310"/>
      <c r="H71" s="310"/>
      <c r="I71" s="310"/>
      <c r="J71" s="310"/>
      <c r="K71" s="310"/>
      <c r="L71" s="310"/>
      <c r="M71" s="310"/>
      <c r="N71" s="310"/>
      <c r="O71" s="310"/>
      <c r="P71" s="310"/>
      <c r="Q71" s="310"/>
      <c r="R71" s="310"/>
      <c r="S71" s="310"/>
      <c r="T71" s="310"/>
    </row>
    <row r="72" spans="1:20">
      <c r="A72" s="310"/>
      <c r="B72" s="310"/>
      <c r="C72" s="310"/>
      <c r="D72" s="310"/>
      <c r="E72" s="310"/>
      <c r="F72" s="310"/>
      <c r="G72" s="310"/>
      <c r="H72" s="310"/>
      <c r="I72" s="310"/>
      <c r="J72" s="310"/>
      <c r="K72" s="310"/>
      <c r="L72" s="310"/>
      <c r="M72" s="310"/>
      <c r="N72" s="310"/>
      <c r="O72" s="310"/>
      <c r="P72" s="310"/>
      <c r="Q72" s="310"/>
      <c r="R72" s="310"/>
      <c r="S72" s="310"/>
      <c r="T72" s="310"/>
    </row>
    <row r="73" spans="1:20">
      <c r="A73" s="310"/>
      <c r="B73" s="310"/>
      <c r="C73" s="310"/>
      <c r="D73" s="310"/>
      <c r="E73" s="310"/>
      <c r="F73" s="310"/>
      <c r="G73" s="310"/>
      <c r="H73" s="310"/>
      <c r="I73" s="310"/>
      <c r="J73" s="310"/>
      <c r="K73" s="310"/>
      <c r="L73" s="310"/>
      <c r="M73" s="310"/>
      <c r="N73" s="310"/>
      <c r="O73" s="310"/>
      <c r="P73" s="310"/>
      <c r="Q73" s="310"/>
      <c r="R73" s="310"/>
      <c r="S73" s="310"/>
      <c r="T73" s="310"/>
    </row>
    <row r="74" spans="1:20">
      <c r="A74" s="310"/>
      <c r="B74" s="310"/>
      <c r="C74" s="310"/>
      <c r="D74" s="310"/>
      <c r="E74" s="310"/>
      <c r="F74" s="310"/>
      <c r="G74" s="310"/>
      <c r="H74" s="310"/>
      <c r="I74" s="310"/>
      <c r="J74" s="310"/>
      <c r="K74" s="310"/>
      <c r="L74" s="310"/>
      <c r="M74" s="310"/>
      <c r="N74" s="310"/>
      <c r="O74" s="310"/>
      <c r="P74" s="310"/>
      <c r="Q74" s="310"/>
      <c r="R74" s="310"/>
      <c r="S74" s="310"/>
      <c r="T74" s="310"/>
    </row>
    <row r="75" spans="1:20">
      <c r="A75" s="310"/>
      <c r="B75" s="310"/>
      <c r="C75" s="310"/>
      <c r="D75" s="310"/>
      <c r="E75" s="310"/>
      <c r="F75" s="310"/>
      <c r="G75" s="310"/>
      <c r="H75" s="310"/>
      <c r="I75" s="310"/>
      <c r="J75" s="310"/>
      <c r="K75" s="310"/>
      <c r="L75" s="310"/>
      <c r="M75" s="310"/>
      <c r="N75" s="310"/>
      <c r="O75" s="310"/>
      <c r="P75" s="310"/>
      <c r="Q75" s="310"/>
      <c r="R75" s="310"/>
      <c r="S75" s="310"/>
      <c r="T75" s="310"/>
    </row>
    <row r="76" spans="1:20">
      <c r="A76" s="310"/>
      <c r="B76" s="310"/>
      <c r="C76" s="310"/>
      <c r="D76" s="310"/>
      <c r="E76" s="310"/>
      <c r="F76" s="310"/>
      <c r="G76" s="310"/>
      <c r="H76" s="310"/>
      <c r="I76" s="310"/>
      <c r="J76" s="310"/>
      <c r="K76" s="310"/>
      <c r="L76" s="310"/>
      <c r="M76" s="310"/>
      <c r="N76" s="310"/>
      <c r="O76" s="310"/>
      <c r="P76" s="310"/>
      <c r="Q76" s="310"/>
      <c r="R76" s="310"/>
      <c r="S76" s="310"/>
      <c r="T76" s="310"/>
    </row>
    <row r="77" spans="1:20">
      <c r="A77" s="310"/>
      <c r="B77" s="310"/>
      <c r="C77" s="310"/>
      <c r="D77" s="310"/>
      <c r="E77" s="310"/>
      <c r="F77" s="310"/>
      <c r="G77" s="310"/>
      <c r="H77" s="310"/>
      <c r="I77" s="310"/>
      <c r="J77" s="310"/>
      <c r="K77" s="310"/>
      <c r="L77" s="310"/>
      <c r="M77" s="310"/>
      <c r="N77" s="310"/>
      <c r="O77" s="310"/>
      <c r="P77" s="310"/>
      <c r="Q77" s="310"/>
      <c r="R77" s="310"/>
      <c r="S77" s="310"/>
      <c r="T77" s="310"/>
    </row>
    <row r="78" spans="1:20">
      <c r="A78" s="310"/>
      <c r="B78" s="310"/>
      <c r="C78" s="310"/>
      <c r="D78" s="310"/>
      <c r="E78" s="310"/>
      <c r="F78" s="310"/>
      <c r="G78" s="310"/>
      <c r="H78" s="310"/>
      <c r="I78" s="310"/>
      <c r="J78" s="310"/>
      <c r="K78" s="310"/>
      <c r="L78" s="310"/>
      <c r="M78" s="310"/>
      <c r="N78" s="310"/>
      <c r="O78" s="310"/>
      <c r="P78" s="310"/>
      <c r="Q78" s="310"/>
      <c r="R78" s="310"/>
      <c r="S78" s="310"/>
      <c r="T78" s="310"/>
    </row>
    <row r="79" spans="1:20">
      <c r="A79" s="310"/>
      <c r="B79" s="310"/>
      <c r="C79" s="310"/>
      <c r="D79" s="310"/>
      <c r="E79" s="310"/>
      <c r="F79" s="310"/>
      <c r="G79" s="310"/>
      <c r="H79" s="310"/>
      <c r="I79" s="310"/>
      <c r="J79" s="310"/>
      <c r="K79" s="310"/>
      <c r="L79" s="310"/>
      <c r="M79" s="310"/>
      <c r="N79" s="310"/>
      <c r="O79" s="310"/>
      <c r="P79" s="310"/>
      <c r="Q79" s="310"/>
      <c r="R79" s="310"/>
      <c r="S79" s="310"/>
      <c r="T79" s="310"/>
    </row>
    <row r="80" spans="1:20">
      <c r="A80" s="310"/>
      <c r="B80" s="310"/>
      <c r="C80" s="310"/>
      <c r="D80" s="310"/>
      <c r="E80" s="310"/>
      <c r="F80" s="310"/>
      <c r="G80" s="310"/>
      <c r="H80" s="310"/>
      <c r="I80" s="310"/>
      <c r="J80" s="310"/>
      <c r="K80" s="310"/>
      <c r="L80" s="310"/>
      <c r="M80" s="310"/>
      <c r="N80" s="310"/>
      <c r="O80" s="310"/>
      <c r="P80" s="310"/>
      <c r="Q80" s="310"/>
      <c r="R80" s="310"/>
      <c r="S80" s="310"/>
      <c r="T80" s="310"/>
    </row>
    <row r="81" spans="1:22">
      <c r="A81" s="310"/>
      <c r="B81" s="310"/>
      <c r="C81" s="310"/>
      <c r="D81" s="310"/>
      <c r="E81" s="310"/>
      <c r="F81" s="310"/>
      <c r="G81" s="310"/>
      <c r="H81" s="310"/>
      <c r="I81" s="310"/>
      <c r="J81" s="310"/>
      <c r="K81" s="310"/>
      <c r="L81" s="310"/>
      <c r="M81" s="310"/>
      <c r="N81" s="310"/>
      <c r="O81" s="310"/>
      <c r="P81" s="310"/>
      <c r="Q81" s="310"/>
      <c r="R81" s="310"/>
      <c r="S81" s="310"/>
      <c r="T81" s="310"/>
    </row>
    <row r="82" spans="1:22">
      <c r="A82" s="310"/>
      <c r="B82" s="310"/>
      <c r="C82" s="310"/>
      <c r="D82" s="310"/>
      <c r="E82" s="310"/>
      <c r="F82" s="310"/>
      <c r="G82" s="310"/>
      <c r="H82" s="310"/>
      <c r="I82" s="310"/>
      <c r="J82" s="310"/>
      <c r="K82" s="310"/>
      <c r="L82" s="310"/>
      <c r="M82" s="310"/>
      <c r="N82" s="310"/>
      <c r="O82" s="310"/>
      <c r="P82" s="310"/>
      <c r="Q82" s="310"/>
      <c r="R82" s="310"/>
      <c r="S82" s="310"/>
      <c r="T82" s="310"/>
    </row>
    <row r="83" spans="1:22">
      <c r="A83" s="310"/>
      <c r="B83" s="310"/>
      <c r="C83" s="310"/>
      <c r="D83" s="310"/>
      <c r="E83" s="310"/>
      <c r="F83" s="310"/>
      <c r="G83" s="310"/>
      <c r="H83" s="310"/>
      <c r="I83" s="310"/>
      <c r="J83" s="310"/>
      <c r="K83" s="310"/>
      <c r="L83" s="310"/>
      <c r="M83" s="310"/>
      <c r="N83" s="310"/>
      <c r="O83" s="310"/>
      <c r="P83" s="310"/>
      <c r="Q83" s="310"/>
      <c r="R83" s="310"/>
      <c r="S83" s="310"/>
      <c r="T83" s="310"/>
    </row>
    <row r="84" spans="1:22">
      <c r="A84" s="310"/>
      <c r="B84" s="310"/>
      <c r="C84" s="310"/>
      <c r="D84" s="310"/>
      <c r="E84" s="310"/>
      <c r="F84" s="310"/>
      <c r="G84" s="310"/>
      <c r="H84" s="310"/>
      <c r="I84" s="310"/>
      <c r="J84" s="310"/>
      <c r="K84" s="310"/>
      <c r="L84" s="310"/>
      <c r="M84" s="310"/>
      <c r="N84" s="310"/>
      <c r="O84" s="310"/>
      <c r="P84" s="310"/>
      <c r="Q84" s="310"/>
      <c r="R84" s="310"/>
      <c r="S84" s="310"/>
      <c r="T84" s="310"/>
    </row>
    <row r="85" spans="1:22">
      <c r="A85" s="310"/>
      <c r="B85" s="310"/>
      <c r="C85" s="310"/>
      <c r="D85" s="310"/>
      <c r="E85" s="310"/>
      <c r="F85" s="310"/>
      <c r="G85" s="310"/>
      <c r="H85" s="310"/>
      <c r="I85" s="310"/>
      <c r="J85" s="310"/>
      <c r="K85" s="310"/>
      <c r="L85" s="310"/>
      <c r="M85" s="310"/>
      <c r="N85" s="310"/>
      <c r="O85" s="310"/>
      <c r="P85" s="310"/>
      <c r="Q85" s="310"/>
      <c r="R85" s="310"/>
      <c r="S85" s="310"/>
      <c r="T85" s="310"/>
    </row>
    <row r="86" spans="1:22">
      <c r="A86" s="310"/>
      <c r="B86" s="310"/>
      <c r="C86" s="310"/>
      <c r="D86" s="310"/>
      <c r="E86" s="310"/>
      <c r="F86" s="310"/>
      <c r="G86" s="310"/>
      <c r="H86" s="310"/>
      <c r="I86" s="310"/>
      <c r="J86" s="310"/>
      <c r="K86" s="310"/>
      <c r="L86" s="310"/>
      <c r="M86" s="310"/>
      <c r="N86" s="310"/>
      <c r="O86" s="310"/>
      <c r="P86" s="310"/>
      <c r="Q86" s="310"/>
      <c r="R86" s="310"/>
      <c r="S86" s="310"/>
      <c r="T86" s="310"/>
      <c r="V86" s="287"/>
    </row>
    <row r="87" spans="1:22">
      <c r="A87" s="310"/>
      <c r="B87" s="310"/>
      <c r="C87" s="310"/>
      <c r="D87" s="310"/>
      <c r="E87" s="310"/>
      <c r="F87" s="310"/>
      <c r="G87" s="310"/>
      <c r="H87" s="310"/>
      <c r="I87" s="310"/>
      <c r="J87" s="310"/>
      <c r="K87" s="310"/>
      <c r="L87" s="310"/>
      <c r="M87" s="310"/>
      <c r="N87" s="310"/>
      <c r="O87" s="310"/>
      <c r="P87" s="310"/>
      <c r="Q87" s="310"/>
      <c r="R87" s="310"/>
      <c r="S87" s="310"/>
      <c r="T87" s="310"/>
      <c r="V87" s="287"/>
    </row>
    <row r="88" spans="1:22">
      <c r="A88" s="310"/>
      <c r="B88" s="310"/>
      <c r="C88" s="310"/>
      <c r="D88" s="310"/>
      <c r="E88" s="310"/>
      <c r="F88" s="310"/>
      <c r="G88" s="310"/>
      <c r="H88" s="310"/>
      <c r="I88" s="310"/>
      <c r="J88" s="310"/>
      <c r="K88" s="310"/>
      <c r="L88" s="310"/>
      <c r="M88" s="310"/>
      <c r="N88" s="310"/>
      <c r="O88" s="310"/>
      <c r="P88" s="310"/>
      <c r="Q88" s="310"/>
      <c r="R88" s="310"/>
      <c r="S88" s="310"/>
      <c r="T88" s="310"/>
    </row>
    <row r="89" spans="1:22">
      <c r="A89" s="310"/>
      <c r="B89" s="310"/>
      <c r="C89" s="310"/>
      <c r="D89" s="310"/>
      <c r="E89" s="310"/>
      <c r="F89" s="310"/>
      <c r="G89" s="310"/>
      <c r="H89" s="310"/>
      <c r="I89" s="310"/>
      <c r="J89" s="310"/>
      <c r="K89" s="310"/>
      <c r="L89" s="310"/>
      <c r="M89" s="310"/>
      <c r="N89" s="310"/>
      <c r="O89" s="310"/>
      <c r="P89" s="310"/>
      <c r="Q89" s="310"/>
      <c r="R89" s="310"/>
      <c r="S89" s="310"/>
      <c r="T89" s="310"/>
    </row>
    <row r="90" spans="1:22">
      <c r="A90" s="310"/>
      <c r="B90" s="310"/>
      <c r="C90" s="310"/>
      <c r="D90" s="310"/>
      <c r="E90" s="310"/>
      <c r="F90" s="310"/>
      <c r="G90" s="310"/>
      <c r="H90" s="310"/>
      <c r="I90" s="310"/>
      <c r="J90" s="310"/>
      <c r="K90" s="310"/>
      <c r="L90" s="310"/>
      <c r="M90" s="310"/>
      <c r="N90" s="310"/>
      <c r="O90" s="310"/>
      <c r="P90" s="310"/>
      <c r="Q90" s="310"/>
      <c r="R90" s="310"/>
      <c r="S90" s="310"/>
      <c r="T90" s="310"/>
    </row>
    <row r="91" spans="1:22" ht="9.75" customHeight="1">
      <c r="A91" s="310"/>
      <c r="B91" s="310"/>
      <c r="C91" s="310"/>
      <c r="D91" s="310"/>
      <c r="E91" s="310"/>
      <c r="F91" s="310"/>
      <c r="G91" s="310"/>
      <c r="H91" s="310"/>
      <c r="I91" s="310"/>
      <c r="J91" s="310"/>
      <c r="K91" s="310"/>
      <c r="L91" s="310"/>
      <c r="M91" s="310"/>
      <c r="N91" s="310"/>
      <c r="O91" s="310"/>
      <c r="P91" s="310"/>
      <c r="Q91" s="310"/>
      <c r="R91" s="310"/>
      <c r="S91" s="310"/>
      <c r="T91" s="310"/>
    </row>
    <row r="92" spans="1:22" ht="6.75" customHeight="1">
      <c r="A92" s="310"/>
      <c r="B92" s="310"/>
      <c r="C92" s="310"/>
      <c r="D92" s="310"/>
      <c r="E92" s="310"/>
      <c r="F92" s="310"/>
      <c r="G92" s="310"/>
      <c r="H92" s="310"/>
      <c r="I92" s="310"/>
      <c r="J92" s="310"/>
      <c r="K92" s="310"/>
      <c r="L92" s="310"/>
      <c r="M92" s="310"/>
      <c r="N92" s="310"/>
      <c r="O92" s="310"/>
      <c r="P92" s="310"/>
      <c r="Q92" s="310"/>
      <c r="R92" s="310"/>
      <c r="S92" s="310"/>
      <c r="T92" s="310"/>
    </row>
    <row r="93" spans="1:22" s="216" customFormat="1" ht="34.5" customHeight="1">
      <c r="A93" s="403"/>
      <c r="B93" s="403"/>
      <c r="C93" s="1402" t="s">
        <v>560</v>
      </c>
      <c r="D93" s="1403"/>
      <c r="E93" s="1404" t="s">
        <v>807</v>
      </c>
      <c r="F93" s="1402" t="s">
        <v>114</v>
      </c>
      <c r="G93" s="1403"/>
      <c r="H93" s="1404" t="s">
        <v>807</v>
      </c>
      <c r="I93" s="1402" t="s">
        <v>1435</v>
      </c>
      <c r="J93" s="1403"/>
      <c r="K93" s="1404" t="s">
        <v>807</v>
      </c>
      <c r="L93" s="1402" t="s">
        <v>567</v>
      </c>
      <c r="M93" s="1403"/>
      <c r="N93" s="1404" t="s">
        <v>807</v>
      </c>
      <c r="O93" s="1402" t="s">
        <v>1473</v>
      </c>
      <c r="P93" s="1403"/>
      <c r="Q93" s="1404" t="s">
        <v>807</v>
      </c>
      <c r="R93" s="1052" t="s">
        <v>1735</v>
      </c>
      <c r="S93" s="1053"/>
      <c r="T93" s="1054" t="s">
        <v>807</v>
      </c>
    </row>
    <row r="94" spans="1:22" s="216" customFormat="1" ht="12">
      <c r="A94" s="700" t="s">
        <v>948</v>
      </c>
      <c r="B94" s="701"/>
      <c r="C94" s="1413">
        <v>22624</v>
      </c>
      <c r="D94" s="1414"/>
      <c r="E94" s="883">
        <f>C94/C$106</f>
        <v>8.4380128300760859E-2</v>
      </c>
      <c r="F94" s="1413">
        <v>72501</v>
      </c>
      <c r="G94" s="1414"/>
      <c r="H94" s="883">
        <f>F94/F$106</f>
        <v>7.8020396940781722E-2</v>
      </c>
      <c r="I94" s="1413">
        <v>34593</v>
      </c>
      <c r="J94" s="1414"/>
      <c r="K94" s="883">
        <f>I94/I$106</f>
        <v>6.8516592887489236E-2</v>
      </c>
      <c r="L94" s="1413">
        <v>14485</v>
      </c>
      <c r="M94" s="1414"/>
      <c r="N94" s="883">
        <f>L94/L$106</f>
        <v>0.12154598776568518</v>
      </c>
      <c r="O94" s="1413">
        <v>3835</v>
      </c>
      <c r="P94" s="1414"/>
      <c r="Q94" s="883">
        <f>O94/O$106</f>
        <v>8.7387490030762224E-2</v>
      </c>
      <c r="R94" s="1413">
        <v>39346</v>
      </c>
      <c r="S94" s="1414"/>
      <c r="T94" s="883">
        <f>R94/R$106</f>
        <v>7.7842581747966197E-2</v>
      </c>
    </row>
    <row r="95" spans="1:22" s="216" customFormat="1" ht="12">
      <c r="A95" s="700" t="s">
        <v>949</v>
      </c>
      <c r="B95" s="701"/>
      <c r="C95" s="1413">
        <v>32369</v>
      </c>
      <c r="D95" s="1414"/>
      <c r="E95" s="883">
        <f t="shared" ref="E95:E101" si="0">C95/C$106</f>
        <v>0.12072579442040877</v>
      </c>
      <c r="F95" s="1413">
        <v>67783</v>
      </c>
      <c r="G95" s="1414"/>
      <c r="H95" s="883">
        <f t="shared" ref="H95:H101" si="1">F95/F$106</f>
        <v>7.2943222380891404E-2</v>
      </c>
      <c r="I95" s="1413">
        <v>27318</v>
      </c>
      <c r="J95" s="1414"/>
      <c r="K95" s="883">
        <f t="shared" ref="K95:K101" si="2">I95/I$106</f>
        <v>5.4107370985471942E-2</v>
      </c>
      <c r="L95" s="1413">
        <v>14042</v>
      </c>
      <c r="M95" s="1414"/>
      <c r="N95" s="883">
        <f t="shared" ref="N95:N101" si="3">L95/L$106</f>
        <v>0.1178287028102003</v>
      </c>
      <c r="O95" s="1413">
        <v>3974</v>
      </c>
      <c r="P95" s="1414"/>
      <c r="Q95" s="883">
        <f t="shared" ref="Q95:Q101" si="4">O95/O$106</f>
        <v>9.0554859291329615E-2</v>
      </c>
      <c r="R95" s="1413">
        <v>37768</v>
      </c>
      <c r="S95" s="1414"/>
      <c r="T95" s="883">
        <f t="shared" ref="T95:T101" si="5">R95/R$106</f>
        <v>7.4720648285904218E-2</v>
      </c>
    </row>
    <row r="96" spans="1:22" s="216" customFormat="1" ht="12">
      <c r="A96" s="700" t="s">
        <v>950</v>
      </c>
      <c r="B96" s="701"/>
      <c r="C96" s="1413">
        <v>34575</v>
      </c>
      <c r="D96" s="1414"/>
      <c r="E96" s="883">
        <f t="shared" si="0"/>
        <v>0.12895345367745786</v>
      </c>
      <c r="F96" s="1413">
        <v>151057</v>
      </c>
      <c r="G96" s="1414"/>
      <c r="H96" s="883">
        <f t="shared" si="1"/>
        <v>0.16255675233008737</v>
      </c>
      <c r="I96" s="1413">
        <v>94079</v>
      </c>
      <c r="J96" s="1414"/>
      <c r="K96" s="883">
        <f t="shared" si="2"/>
        <v>0.1863374827931113</v>
      </c>
      <c r="L96" s="1413">
        <v>24866</v>
      </c>
      <c r="M96" s="1414"/>
      <c r="N96" s="883">
        <f t="shared" si="3"/>
        <v>0.20865464492796187</v>
      </c>
      <c r="O96" s="1413">
        <v>8355</v>
      </c>
      <c r="P96" s="1414"/>
      <c r="Q96" s="883">
        <f t="shared" si="4"/>
        <v>0.19038395807223424</v>
      </c>
      <c r="R96" s="1413">
        <v>102671</v>
      </c>
      <c r="S96" s="1414"/>
      <c r="T96" s="883">
        <f t="shared" si="5"/>
        <v>0.20312549460289323</v>
      </c>
    </row>
    <row r="97" spans="1:20" s="216" customFormat="1" ht="12">
      <c r="A97" s="700" t="s">
        <v>951</v>
      </c>
      <c r="B97" s="701"/>
      <c r="C97" s="1413">
        <v>9311</v>
      </c>
      <c r="D97" s="1414"/>
      <c r="E97" s="883">
        <f t="shared" si="0"/>
        <v>3.472698791585857E-2</v>
      </c>
      <c r="F97" s="1413">
        <v>37261</v>
      </c>
      <c r="G97" s="1414"/>
      <c r="H97" s="883">
        <f t="shared" si="1"/>
        <v>4.0097626383228752E-2</v>
      </c>
      <c r="I97" s="1413">
        <v>21825</v>
      </c>
      <c r="J97" s="1414"/>
      <c r="K97" s="883">
        <f t="shared" si="2"/>
        <v>4.3227665706051875E-2</v>
      </c>
      <c r="L97" s="1413">
        <v>3937</v>
      </c>
      <c r="M97" s="1414"/>
      <c r="N97" s="883">
        <f t="shared" si="3"/>
        <v>3.3036006477977393E-2</v>
      </c>
      <c r="O97" s="1413">
        <v>2333</v>
      </c>
      <c r="P97" s="1414"/>
      <c r="Q97" s="883">
        <f t="shared" si="4"/>
        <v>5.3161672553264212E-2</v>
      </c>
      <c r="R97" s="1413">
        <v>15937</v>
      </c>
      <c r="S97" s="1414"/>
      <c r="T97" s="883">
        <f t="shared" si="5"/>
        <v>3.1529945237567664E-2</v>
      </c>
    </row>
    <row r="98" spans="1:20" s="216" customFormat="1" ht="12">
      <c r="A98" s="700" t="s">
        <v>952</v>
      </c>
      <c r="B98" s="701"/>
      <c r="C98" s="1413">
        <v>12384</v>
      </c>
      <c r="D98" s="1414"/>
      <c r="E98" s="883">
        <f t="shared" si="0"/>
        <v>4.6188273907205729E-2</v>
      </c>
      <c r="F98" s="1413">
        <v>31566</v>
      </c>
      <c r="G98" s="1414"/>
      <c r="H98" s="883">
        <f t="shared" si="1"/>
        <v>3.3969074217358598E-2</v>
      </c>
      <c r="I98" s="1413">
        <v>15117</v>
      </c>
      <c r="J98" s="1414"/>
      <c r="K98" s="883">
        <f t="shared" si="2"/>
        <v>2.9941471820315518E-2</v>
      </c>
      <c r="L98" s="1413">
        <v>8109</v>
      </c>
      <c r="M98" s="1414"/>
      <c r="N98" s="883">
        <f t="shared" si="3"/>
        <v>6.8043936126471596E-2</v>
      </c>
      <c r="O98" s="1413">
        <v>2693</v>
      </c>
      <c r="P98" s="1414"/>
      <c r="Q98" s="883">
        <f t="shared" si="4"/>
        <v>6.136493106984163E-2</v>
      </c>
      <c r="R98" s="1413">
        <v>15600</v>
      </c>
      <c r="S98" s="1414"/>
      <c r="T98" s="883">
        <f t="shared" si="5"/>
        <v>3.0863220537494854E-2</v>
      </c>
    </row>
    <row r="99" spans="1:20" s="216" customFormat="1" ht="24" customHeight="1">
      <c r="A99" s="1416" t="s">
        <v>953</v>
      </c>
      <c r="B99" s="1417"/>
      <c r="C99" s="1413">
        <v>59895</v>
      </c>
      <c r="D99" s="1414"/>
      <c r="E99" s="883">
        <f t="shared" si="0"/>
        <v>0.22338878114277189</v>
      </c>
      <c r="F99" s="1413">
        <v>156100</v>
      </c>
      <c r="G99" s="1414"/>
      <c r="H99" s="883">
        <f t="shared" si="1"/>
        <v>0.16798366867292902</v>
      </c>
      <c r="I99" s="1413">
        <v>80573</v>
      </c>
      <c r="J99" s="1414"/>
      <c r="K99" s="883">
        <f t="shared" si="2"/>
        <v>0.15958683660635589</v>
      </c>
      <c r="L99" s="1413">
        <v>15727</v>
      </c>
      <c r="M99" s="1414"/>
      <c r="N99" s="883">
        <f t="shared" si="3"/>
        <v>0.13196781150092723</v>
      </c>
      <c r="O99" s="1413">
        <v>7350</v>
      </c>
      <c r="P99" s="1414"/>
      <c r="Q99" s="883">
        <f t="shared" si="4"/>
        <v>0.16748319471345563</v>
      </c>
      <c r="R99" s="1413">
        <v>103923</v>
      </c>
      <c r="S99" s="1414"/>
      <c r="T99" s="883">
        <f t="shared" si="5"/>
        <v>0.20560246589218448</v>
      </c>
    </row>
    <row r="100" spans="1:20" s="216" customFormat="1" ht="12">
      <c r="A100" s="700" t="s">
        <v>954</v>
      </c>
      <c r="B100" s="701"/>
      <c r="C100" s="1413">
        <v>13862</v>
      </c>
      <c r="D100" s="1414"/>
      <c r="E100" s="883">
        <f t="shared" si="0"/>
        <v>5.1700731015963002E-2</v>
      </c>
      <c r="F100" s="1413">
        <v>54298</v>
      </c>
      <c r="G100" s="1414"/>
      <c r="H100" s="883">
        <f t="shared" si="1"/>
        <v>5.8431628709818703E-2</v>
      </c>
      <c r="I100" s="1413">
        <v>27154</v>
      </c>
      <c r="J100" s="1414"/>
      <c r="K100" s="883">
        <f t="shared" si="2"/>
        <v>5.3782544539845704E-2</v>
      </c>
      <c r="L100" s="1413">
        <v>8936</v>
      </c>
      <c r="M100" s="1414"/>
      <c r="N100" s="883">
        <f t="shared" si="3"/>
        <v>7.4983427454205234E-2</v>
      </c>
      <c r="O100" s="1413">
        <v>2582</v>
      </c>
      <c r="P100" s="1414"/>
      <c r="Q100" s="883">
        <f t="shared" si="4"/>
        <v>5.8835593027230258E-2</v>
      </c>
      <c r="R100" s="1413">
        <v>36700</v>
      </c>
      <c r="S100" s="1414"/>
      <c r="T100" s="883">
        <f t="shared" si="5"/>
        <v>7.2607704726029565E-2</v>
      </c>
    </row>
    <row r="101" spans="1:20" s="216" customFormat="1" ht="24.75" customHeight="1">
      <c r="A101" s="1416" t="s">
        <v>963</v>
      </c>
      <c r="B101" s="1417"/>
      <c r="C101" s="1413">
        <v>24614</v>
      </c>
      <c r="D101" s="1414"/>
      <c r="E101" s="883">
        <f t="shared" si="0"/>
        <v>9.1802178129195888E-2</v>
      </c>
      <c r="F101" s="1413">
        <v>132176</v>
      </c>
      <c r="G101" s="1414"/>
      <c r="H101" s="883">
        <f t="shared" si="1"/>
        <v>0.14223836893345973</v>
      </c>
      <c r="I101" s="1413">
        <v>62285</v>
      </c>
      <c r="J101" s="1414"/>
      <c r="K101" s="883">
        <f t="shared" si="2"/>
        <v>0.12336472662091368</v>
      </c>
      <c r="L101" s="1413">
        <v>16998</v>
      </c>
      <c r="M101" s="1414"/>
      <c r="N101" s="883">
        <f t="shared" si="3"/>
        <v>0.14263297894657348</v>
      </c>
      <c r="O101" s="1413">
        <v>6168</v>
      </c>
      <c r="P101" s="1414"/>
      <c r="Q101" s="883">
        <f t="shared" si="4"/>
        <v>0.14054916258402644</v>
      </c>
      <c r="R101" s="1413">
        <v>82263</v>
      </c>
      <c r="S101" s="1414"/>
      <c r="T101" s="883">
        <f t="shared" si="5"/>
        <v>0.16275007122281662</v>
      </c>
    </row>
    <row r="102" spans="1:20" s="216" customFormat="1" ht="12">
      <c r="A102" s="700" t="s">
        <v>956</v>
      </c>
      <c r="B102" s="701"/>
      <c r="C102" s="1413">
        <v>40088</v>
      </c>
      <c r="D102" s="1414"/>
      <c r="E102" s="883">
        <f>C102/C$106</f>
        <v>0.14951514247351932</v>
      </c>
      <c r="F102" s="1413">
        <v>130514</v>
      </c>
      <c r="G102" s="1414"/>
      <c r="H102" s="883">
        <f>F102/F$106</f>
        <v>0.14044984326187482</v>
      </c>
      <c r="I102" s="1413">
        <v>76132</v>
      </c>
      <c r="J102" s="1414"/>
      <c r="K102" s="883">
        <f>I102/I$106</f>
        <v>0.1507907741366846</v>
      </c>
      <c r="L102" s="1413">
        <v>7249</v>
      </c>
      <c r="M102" s="1414"/>
      <c r="N102" s="883">
        <f>L102/L$106</f>
        <v>6.0827536438622841E-2</v>
      </c>
      <c r="O102" s="1413">
        <v>4221</v>
      </c>
      <c r="P102" s="1414"/>
      <c r="Q102" s="883">
        <f>O102/O$106</f>
        <v>9.6183206106870228E-2</v>
      </c>
      <c r="R102" s="1413">
        <v>45927</v>
      </c>
      <c r="S102" s="1414"/>
      <c r="T102" s="883">
        <f>R102/R$106</f>
        <v>9.0862508309328613E-2</v>
      </c>
    </row>
    <row r="103" spans="1:20" s="216" customFormat="1" ht="12" customHeight="1">
      <c r="A103" s="1424" t="s">
        <v>1450</v>
      </c>
      <c r="B103" s="1425"/>
      <c r="C103" s="1420">
        <v>16718</v>
      </c>
      <c r="D103" s="1421"/>
      <c r="E103" s="1418">
        <f>C103/C106</f>
        <v>6.2352677905415488E-2</v>
      </c>
      <c r="F103" s="1420">
        <v>82530</v>
      </c>
      <c r="G103" s="1421"/>
      <c r="H103" s="1418">
        <f>F103/F106</f>
        <v>8.8812890298378161E-2</v>
      </c>
      <c r="I103" s="1420">
        <v>58019</v>
      </c>
      <c r="J103" s="1421"/>
      <c r="K103" s="1418">
        <f>I103/I106</f>
        <v>0.11491527773651426</v>
      </c>
      <c r="L103" s="1420">
        <v>4009</v>
      </c>
      <c r="M103" s="1421"/>
      <c r="N103" s="1418">
        <f>L103/L106</f>
        <v>3.3640170172774035E-2</v>
      </c>
      <c r="O103" s="1420">
        <v>1644</v>
      </c>
      <c r="P103" s="1421"/>
      <c r="Q103" s="1418">
        <f>O103/O106</f>
        <v>3.7461547225703544E-2</v>
      </c>
      <c r="R103" s="1420">
        <v>20524</v>
      </c>
      <c r="S103" s="1421"/>
      <c r="T103" s="1418">
        <f>R103/R106</f>
        <v>4.0604919122534902E-2</v>
      </c>
    </row>
    <row r="104" spans="1:20" s="216" customFormat="1" ht="12" customHeight="1">
      <c r="A104" s="1426"/>
      <c r="B104" s="1427"/>
      <c r="C104" s="1422"/>
      <c r="D104" s="1423"/>
      <c r="E104" s="1419"/>
      <c r="F104" s="1422"/>
      <c r="G104" s="1423"/>
      <c r="H104" s="1419"/>
      <c r="I104" s="1422"/>
      <c r="J104" s="1423"/>
      <c r="K104" s="1419"/>
      <c r="L104" s="1422"/>
      <c r="M104" s="1423"/>
      <c r="N104" s="1419"/>
      <c r="O104" s="1422"/>
      <c r="P104" s="1423"/>
      <c r="Q104" s="1419"/>
      <c r="R104" s="1422"/>
      <c r="S104" s="1423"/>
      <c r="T104" s="1419"/>
    </row>
    <row r="105" spans="1:20" s="216" customFormat="1" ht="12">
      <c r="A105" s="700" t="s">
        <v>958</v>
      </c>
      <c r="B105" s="701"/>
      <c r="C105" s="1413">
        <v>1680</v>
      </c>
      <c r="D105" s="1414"/>
      <c r="E105" s="883">
        <f>C105/C$106</f>
        <v>6.2658511114426375E-3</v>
      </c>
      <c r="F105" s="1413">
        <v>13471</v>
      </c>
      <c r="G105" s="1414"/>
      <c r="H105" s="883">
        <f>F105/F$106</f>
        <v>1.4496527871191716E-2</v>
      </c>
      <c r="I105" s="1413">
        <v>7790</v>
      </c>
      <c r="J105" s="1414"/>
      <c r="K105" s="883">
        <f>I105/I$106</f>
        <v>1.5429256167246006E-2</v>
      </c>
      <c r="L105" s="1413">
        <v>815</v>
      </c>
      <c r="M105" s="1414"/>
      <c r="N105" s="883">
        <f>L105/L$106</f>
        <v>6.8387973786008579E-3</v>
      </c>
      <c r="O105" s="1413">
        <v>730</v>
      </c>
      <c r="P105" s="1414"/>
      <c r="Q105" s="883">
        <f>O105/O$106</f>
        <v>1.6634385325281987E-2</v>
      </c>
      <c r="R105" s="1413">
        <v>4797</v>
      </c>
      <c r="S105" s="1414"/>
      <c r="T105" s="883">
        <f>R105/R$106</f>
        <v>9.490440315279668E-3</v>
      </c>
    </row>
    <row r="106" spans="1:20">
      <c r="A106" s="407" t="s">
        <v>959</v>
      </c>
      <c r="B106" s="407"/>
      <c r="C106" s="1415">
        <f>SUM(C94:D105)</f>
        <v>268120</v>
      </c>
      <c r="D106" s="1415"/>
      <c r="E106" s="562">
        <f>C106/C$106</f>
        <v>1</v>
      </c>
      <c r="F106" s="1415">
        <f>SUM(F94:G105)</f>
        <v>929257</v>
      </c>
      <c r="G106" s="1415"/>
      <c r="H106" s="562">
        <f>F106/F$106</f>
        <v>1</v>
      </c>
      <c r="I106" s="1415">
        <f>SUM(I94:J105)</f>
        <v>504885</v>
      </c>
      <c r="J106" s="1415"/>
      <c r="K106" s="562">
        <f>I106/I$106</f>
        <v>1</v>
      </c>
      <c r="L106" s="1415">
        <f>SUM(L94:M105)</f>
        <v>119173</v>
      </c>
      <c r="M106" s="1415"/>
      <c r="N106" s="562">
        <f>L106/L$106</f>
        <v>1</v>
      </c>
      <c r="O106" s="1415">
        <f>SUM(O94:P105)</f>
        <v>43885</v>
      </c>
      <c r="P106" s="1415"/>
      <c r="Q106" s="562">
        <f>O106/O$106</f>
        <v>1</v>
      </c>
      <c r="R106" s="1415">
        <f>SUM(R94:S105)</f>
        <v>505456</v>
      </c>
      <c r="S106" s="1415"/>
      <c r="T106" s="399"/>
    </row>
    <row r="107" spans="1:20" hidden="1"/>
    <row r="108" spans="1:20" hidden="1"/>
    <row r="109" spans="1:20" hidden="1"/>
    <row r="110" spans="1:20" hidden="1"/>
    <row r="111" spans="1:20" hidden="1"/>
    <row r="112" spans="1:20"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sheetData>
  <sheetProtection algorithmName="SHA-512" hashValue="03hPtdAnBOCrdILd4u5F9FrCydu91tGHYwPHEaO1FtLtB+/xypvcq0u4eDmusNK54yaEruF5ipGlPCMntC5hHw==" saltValue="pM4+ktanbugpHHTLAAAdCw==" spinCount="100000" sheet="1" objects="1" autoFilter="0"/>
  <mergeCells count="154">
    <mergeCell ref="A9:C9"/>
    <mergeCell ref="A101:B101"/>
    <mergeCell ref="A99:B99"/>
    <mergeCell ref="N103:N104"/>
    <mergeCell ref="Q103:Q104"/>
    <mergeCell ref="T103:T104"/>
    <mergeCell ref="F103:G104"/>
    <mergeCell ref="I103:J104"/>
    <mergeCell ref="L103:M104"/>
    <mergeCell ref="O103:P104"/>
    <mergeCell ref="R103:S104"/>
    <mergeCell ref="A103:B104"/>
    <mergeCell ref="C103:D104"/>
    <mergeCell ref="E103:E104"/>
    <mergeCell ref="H103:H104"/>
    <mergeCell ref="K103:K104"/>
    <mergeCell ref="K53:L53"/>
    <mergeCell ref="R93:T93"/>
    <mergeCell ref="Q53:R53"/>
    <mergeCell ref="S53:T53"/>
    <mergeCell ref="F54:T57"/>
    <mergeCell ref="A59:T60"/>
    <mergeCell ref="C93:E93"/>
    <mergeCell ref="F93:H93"/>
    <mergeCell ref="F106:G106"/>
    <mergeCell ref="C94:D94"/>
    <mergeCell ref="C95:D95"/>
    <mergeCell ref="C96:D96"/>
    <mergeCell ref="C97:D97"/>
    <mergeCell ref="C98:D98"/>
    <mergeCell ref="C99:D99"/>
    <mergeCell ref="C100:D100"/>
    <mergeCell ref="C101:D101"/>
    <mergeCell ref="C102:D102"/>
    <mergeCell ref="C105:D105"/>
    <mergeCell ref="C106:D106"/>
    <mergeCell ref="F100:G100"/>
    <mergeCell ref="F101:G101"/>
    <mergeCell ref="F102:G102"/>
    <mergeCell ref="F105:G105"/>
    <mergeCell ref="F95:G95"/>
    <mergeCell ref="F96:G96"/>
    <mergeCell ref="F97:G97"/>
    <mergeCell ref="F98:G98"/>
    <mergeCell ref="F99:G99"/>
    <mergeCell ref="F94:G94"/>
    <mergeCell ref="L105:M105"/>
    <mergeCell ref="L106:M106"/>
    <mergeCell ref="I93:K93"/>
    <mergeCell ref="I94:J94"/>
    <mergeCell ref="I95:J95"/>
    <mergeCell ref="I96:J96"/>
    <mergeCell ref="I97:J97"/>
    <mergeCell ref="I98:J98"/>
    <mergeCell ref="I99:J99"/>
    <mergeCell ref="I100:J100"/>
    <mergeCell ref="I101:J101"/>
    <mergeCell ref="I102:J102"/>
    <mergeCell ref="I105:J105"/>
    <mergeCell ref="I106:J106"/>
    <mergeCell ref="L98:M98"/>
    <mergeCell ref="L99:M99"/>
    <mergeCell ref="L100:M100"/>
    <mergeCell ref="L101:M101"/>
    <mergeCell ref="L102:M102"/>
    <mergeCell ref="L94:M94"/>
    <mergeCell ref="L95:M95"/>
    <mergeCell ref="L96:M96"/>
    <mergeCell ref="L97:M97"/>
    <mergeCell ref="L93:N93"/>
    <mergeCell ref="R105:S105"/>
    <mergeCell ref="R106:S106"/>
    <mergeCell ref="O94:P94"/>
    <mergeCell ref="O95:P95"/>
    <mergeCell ref="O96:P96"/>
    <mergeCell ref="O97:P97"/>
    <mergeCell ref="O98:P98"/>
    <mergeCell ref="O99:P99"/>
    <mergeCell ref="O100:P100"/>
    <mergeCell ref="O101:P101"/>
    <mergeCell ref="O102:P102"/>
    <mergeCell ref="O105:P105"/>
    <mergeCell ref="O106:P106"/>
    <mergeCell ref="R99:S99"/>
    <mergeCell ref="R100:S100"/>
    <mergeCell ref="R101:S101"/>
    <mergeCell ref="R102:S102"/>
    <mergeCell ref="R95:S95"/>
    <mergeCell ref="R96:S96"/>
    <mergeCell ref="R97:S97"/>
    <mergeCell ref="R98:S98"/>
    <mergeCell ref="R94:S94"/>
    <mergeCell ref="O93:Q93"/>
    <mergeCell ref="A51:F51"/>
    <mergeCell ref="G51:H51"/>
    <mergeCell ref="I51:J51"/>
    <mergeCell ref="K51:L51"/>
    <mergeCell ref="O51:P51"/>
    <mergeCell ref="Q49:R49"/>
    <mergeCell ref="S49:T49"/>
    <mergeCell ref="A52:F52"/>
    <mergeCell ref="A53:F53"/>
    <mergeCell ref="A49:F49"/>
    <mergeCell ref="K49:L49"/>
    <mergeCell ref="I49:J49"/>
    <mergeCell ref="G49:H49"/>
    <mergeCell ref="O52:P52"/>
    <mergeCell ref="Q52:R52"/>
    <mergeCell ref="S52:T52"/>
    <mergeCell ref="O53:P53"/>
    <mergeCell ref="Q51:R51"/>
    <mergeCell ref="S51:T51"/>
    <mergeCell ref="G52:H52"/>
    <mergeCell ref="I52:J52"/>
    <mergeCell ref="K52:L52"/>
    <mergeCell ref="G53:H53"/>
    <mergeCell ref="I53:J53"/>
    <mergeCell ref="O49:P49"/>
    <mergeCell ref="F1:T4"/>
    <mergeCell ref="A6:T7"/>
    <mergeCell ref="N9:T9"/>
    <mergeCell ref="G9:L9"/>
    <mergeCell ref="G45:L45"/>
    <mergeCell ref="N45:T45"/>
    <mergeCell ref="G46:L46"/>
    <mergeCell ref="O46:T46"/>
    <mergeCell ref="A13:F13"/>
    <mergeCell ref="G12:I12"/>
    <mergeCell ref="J12:L12"/>
    <mergeCell ref="M12:O12"/>
    <mergeCell ref="P12:R12"/>
    <mergeCell ref="G13:I13"/>
    <mergeCell ref="J13:L13"/>
    <mergeCell ref="M13:O13"/>
    <mergeCell ref="P13:R13"/>
    <mergeCell ref="A14:F14"/>
    <mergeCell ref="G14:I14"/>
    <mergeCell ref="J14:L14"/>
    <mergeCell ref="M14:O14"/>
    <mergeCell ref="P14:R14"/>
    <mergeCell ref="S47:T47"/>
    <mergeCell ref="S48:T48"/>
    <mergeCell ref="A48:F48"/>
    <mergeCell ref="A47:F47"/>
    <mergeCell ref="G47:H47"/>
    <mergeCell ref="I47:J47"/>
    <mergeCell ref="K47:L47"/>
    <mergeCell ref="O47:P47"/>
    <mergeCell ref="Q47:R47"/>
    <mergeCell ref="K48:L48"/>
    <mergeCell ref="I48:J48"/>
    <mergeCell ref="G48:H48"/>
    <mergeCell ref="O48:P48"/>
    <mergeCell ref="Q48:R48"/>
  </mergeCells>
  <hyperlinks>
    <hyperlink ref="A47:F47" location="Glossaire!A309" display="Fréquentation et taux d'occupation (T.O.)" xr:uid="{00000000-0004-0000-1B00-000000000000}"/>
    <hyperlink ref="A43" location="Glossaire!I279" display="Zoom secteur touristiques aquitains" xr:uid="{00000000-0004-0000-1B00-000001000000}"/>
    <hyperlink ref="A43:G43" location="Annexe!A33" display="Zoom secteurs touristiques aquitains" xr:uid="{00000000-0004-0000-1B00-000002000000}"/>
    <hyperlink ref="G47:H47" location="Glossaire!A311" display="Nombre de nuitées" xr:uid="{00000000-0004-0000-1B00-000003000000}"/>
    <hyperlink ref="G51:H51" location="Glossaire!A311" display="Nombre de nuitées" xr:uid="{00000000-0004-0000-1B00-000004000000}"/>
    <hyperlink ref="O47:P47" location="Glossaire!A311" display="Nombre de nuitées" xr:uid="{00000000-0004-0000-1B00-000005000000}"/>
    <hyperlink ref="O51:P51" location="Glossaire!A311" display="Nombre de nuitées" xr:uid="{00000000-0004-0000-1B00-000006000000}"/>
    <hyperlink ref="A11:G11" location="Glossaire!A305" display="Offre d'hébergement marchand en 2017" xr:uid="{00000000-0004-0000-1B00-000007000000}"/>
  </hyperlink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avril 2018</oddHeader>
    <oddFooter>&amp;C&amp;"-,Italique"&amp;8&amp;A&amp;R&amp;8Page &amp;P</oddFooter>
  </headerFooter>
  <rowBreaks count="1" manualBreakCount="1">
    <brk id="53"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0000000}">
          <x14:formula1>
            <xm:f>'D_Ch7-1'!$B$6:$B$54</xm:f>
          </x14:formula1>
          <xm:sqref>G9:L9</xm:sqref>
        </x14:dataValidation>
        <x14:dataValidation type="list" allowBlank="1" showInputMessage="1" showErrorMessage="1" xr:uid="{00000000-0002-0000-1B00-000001000000}">
          <x14:formula1>
            <xm:f>'D_Ch7-1'!$B$6:$B$54</xm:f>
          </x14:formula1>
          <xm:sqref>N9:T9</xm:sqref>
        </x14:dataValidation>
        <x14:dataValidation type="list" allowBlank="1" showInputMessage="1" showErrorMessage="1" xr:uid="{00000000-0002-0000-1B00-000002000000}">
          <x14:formula1>
            <xm:f>'D_Ch7-1'!$B$55:$B$77</xm:f>
          </x14:formula1>
          <xm:sqref>N45:T45</xm:sqref>
        </x14:dataValidation>
        <x14:dataValidation type="list" allowBlank="1" showInputMessage="1" showErrorMessage="1" xr:uid="{00000000-0002-0000-1B00-000003000000}">
          <x14:formula1>
            <xm:f>'D_Ch7-1'!$B$55:$B$77</xm:f>
          </x14:formula1>
          <xm:sqref>G45:L45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106"/>
  <sheetViews>
    <sheetView showGridLines="0" showRowColHeaders="0" showRuler="0" view="pageLayout" zoomScale="98" zoomScaleNormal="100" zoomScalePageLayoutView="98" workbookViewId="0">
      <selection activeCell="A104" sqref="A104:XFD106"/>
    </sheetView>
  </sheetViews>
  <sheetFormatPr baseColWidth="10" defaultColWidth="0" defaultRowHeight="15" zeroHeight="1"/>
  <cols>
    <col min="1" max="19" width="4.7109375" style="310" customWidth="1"/>
    <col min="20" max="20" width="4" style="310" customWidth="1"/>
    <col min="21" max="21" width="1.85546875" customWidth="1"/>
    <col min="22" max="16384" width="11.42578125" hidden="1"/>
  </cols>
  <sheetData>
    <row r="1" spans="1:20" s="198" customFormat="1" ht="15.6" customHeight="1">
      <c r="A1" s="195"/>
      <c r="B1" s="196"/>
      <c r="C1" s="197"/>
      <c r="D1" s="197"/>
      <c r="E1" s="197"/>
      <c r="F1" s="1105" t="s">
        <v>1039</v>
      </c>
      <c r="G1" s="1105"/>
      <c r="H1" s="1105"/>
      <c r="I1" s="1105"/>
      <c r="J1" s="1105"/>
      <c r="K1" s="1105"/>
      <c r="L1" s="1105"/>
      <c r="M1" s="1105"/>
      <c r="N1" s="1105"/>
      <c r="O1" s="1105"/>
      <c r="P1" s="1105"/>
      <c r="Q1" s="1105"/>
      <c r="R1" s="1105"/>
      <c r="S1" s="1105"/>
      <c r="T1" s="1105"/>
    </row>
    <row r="2" spans="1:20" s="198" customFormat="1" ht="15.6" customHeight="1">
      <c r="A2" s="199"/>
      <c r="B2" s="197"/>
      <c r="C2" s="197"/>
      <c r="D2" s="197"/>
      <c r="E2" s="197"/>
      <c r="F2" s="1105"/>
      <c r="G2" s="1105"/>
      <c r="H2" s="1105"/>
      <c r="I2" s="1105"/>
      <c r="J2" s="1105"/>
      <c r="K2" s="1105"/>
      <c r="L2" s="1105"/>
      <c r="M2" s="1105"/>
      <c r="N2" s="1105"/>
      <c r="O2" s="1105"/>
      <c r="P2" s="1105"/>
      <c r="Q2" s="1105"/>
      <c r="R2" s="1105"/>
      <c r="S2" s="1105"/>
      <c r="T2" s="1105"/>
    </row>
    <row r="3" spans="1:20" s="198" customFormat="1" ht="15.6" customHeight="1">
      <c r="A3" s="200"/>
      <c r="B3" s="197"/>
      <c r="C3" s="197"/>
      <c r="D3" s="197"/>
      <c r="E3" s="197"/>
      <c r="F3" s="1105"/>
      <c r="G3" s="1105"/>
      <c r="H3" s="1105"/>
      <c r="I3" s="1105"/>
      <c r="J3" s="1105"/>
      <c r="K3" s="1105"/>
      <c r="L3" s="1105"/>
      <c r="M3" s="1105"/>
      <c r="N3" s="1105"/>
      <c r="O3" s="1105"/>
      <c r="P3" s="1105"/>
      <c r="Q3" s="1105"/>
      <c r="R3" s="1105"/>
      <c r="S3" s="1105"/>
      <c r="T3" s="1105"/>
    </row>
    <row r="4" spans="1:20" s="198" customFormat="1" ht="15.6" customHeight="1">
      <c r="A4" s="200"/>
      <c r="B4" s="197"/>
      <c r="C4" s="197"/>
      <c r="D4" s="197"/>
      <c r="E4" s="197"/>
      <c r="F4" s="1105"/>
      <c r="G4" s="1105"/>
      <c r="H4" s="1105"/>
      <c r="I4" s="1105"/>
      <c r="J4" s="1105"/>
      <c r="K4" s="1105"/>
      <c r="L4" s="1105"/>
      <c r="M4" s="1105"/>
      <c r="N4" s="1105"/>
      <c r="O4" s="1105"/>
      <c r="P4" s="1105"/>
      <c r="Q4" s="1105"/>
      <c r="R4" s="1105"/>
      <c r="S4" s="1105"/>
      <c r="T4" s="1105"/>
    </row>
    <row r="5" spans="1:20" ht="5.25" customHeight="1">
      <c r="A5"/>
      <c r="B5"/>
      <c r="C5"/>
      <c r="D5"/>
      <c r="E5"/>
      <c r="F5"/>
      <c r="G5"/>
      <c r="H5"/>
      <c r="I5"/>
      <c r="J5"/>
      <c r="K5"/>
      <c r="L5"/>
      <c r="M5"/>
      <c r="N5"/>
      <c r="O5"/>
      <c r="P5"/>
      <c r="Q5"/>
      <c r="R5"/>
      <c r="S5"/>
      <c r="T5"/>
    </row>
    <row r="6" spans="1:20" s="198" customFormat="1" ht="15" customHeight="1">
      <c r="A6" s="1102" t="s">
        <v>1253</v>
      </c>
      <c r="B6" s="1102"/>
      <c r="C6" s="1102"/>
      <c r="D6" s="1102"/>
      <c r="E6" s="1102"/>
      <c r="F6" s="1102"/>
      <c r="G6" s="1102"/>
      <c r="H6" s="1102"/>
      <c r="I6" s="1102"/>
      <c r="J6" s="1102"/>
      <c r="K6" s="1102"/>
      <c r="L6" s="1102"/>
      <c r="M6" s="1102"/>
      <c r="N6" s="1102"/>
      <c r="O6" s="1102"/>
      <c r="P6" s="1102"/>
      <c r="Q6" s="1102"/>
      <c r="R6" s="1102"/>
      <c r="S6" s="1102"/>
      <c r="T6" s="1102"/>
    </row>
    <row r="7" spans="1:20" s="198" customFormat="1" ht="15" customHeight="1">
      <c r="A7" s="1102"/>
      <c r="B7" s="1102"/>
      <c r="C7" s="1102"/>
      <c r="D7" s="1102"/>
      <c r="E7" s="1102"/>
      <c r="F7" s="1102"/>
      <c r="G7" s="1102"/>
      <c r="H7" s="1102"/>
      <c r="I7" s="1102"/>
      <c r="J7" s="1102"/>
      <c r="K7" s="1102"/>
      <c r="L7" s="1102"/>
      <c r="M7" s="1102"/>
      <c r="N7" s="1102"/>
      <c r="O7" s="1102"/>
      <c r="P7" s="1102"/>
      <c r="Q7" s="1102"/>
      <c r="R7" s="1102"/>
      <c r="S7" s="1102"/>
      <c r="T7" s="1102"/>
    </row>
    <row r="8" spans="1:20"/>
    <row r="9" spans="1:20"/>
    <row r="10" spans="1:20"/>
    <row r="11" spans="1:20"/>
    <row r="12" spans="1:20">
      <c r="T12" s="586"/>
    </row>
    <row r="13" spans="1:20"/>
    <row r="14" spans="1:20"/>
    <row r="15" spans="1:20"/>
    <row r="16" spans="1:20"/>
    <row r="17"/>
    <row r="18"/>
    <row r="19"/>
    <row r="20"/>
    <row r="21"/>
    <row r="22"/>
    <row r="23"/>
    <row r="24"/>
    <row r="25"/>
    <row r="26"/>
    <row r="27"/>
    <row r="28"/>
    <row r="29"/>
    <row r="30"/>
    <row r="31"/>
    <row r="32"/>
    <row r="33" spans="1:20">
      <c r="A33" s="1428" t="s">
        <v>1781</v>
      </c>
      <c r="B33" s="1428"/>
      <c r="C33" s="1428"/>
      <c r="D33" s="1428"/>
      <c r="E33" s="1428"/>
      <c r="F33" s="1428"/>
      <c r="G33" s="1428"/>
      <c r="H33" s="1428"/>
      <c r="I33" s="1428"/>
      <c r="J33" s="1428"/>
      <c r="K33" s="1428"/>
      <c r="L33" s="1428"/>
      <c r="M33" s="1428"/>
      <c r="N33" s="1428"/>
      <c r="O33" s="1428"/>
      <c r="P33" s="1428"/>
      <c r="Q33" s="1428"/>
      <c r="R33" s="1428"/>
      <c r="S33" s="1428"/>
      <c r="T33" s="1428"/>
    </row>
    <row r="34" spans="1:20"/>
    <row r="35" spans="1:20"/>
    <row r="36" spans="1:20"/>
    <row r="37" spans="1:20"/>
    <row r="38" spans="1:20"/>
    <row r="39" spans="1:20"/>
    <row r="40" spans="1:20"/>
    <row r="41" spans="1:20"/>
    <row r="42" spans="1:20"/>
    <row r="43" spans="1:20"/>
    <row r="44" spans="1:20"/>
    <row r="45" spans="1:20"/>
    <row r="46" spans="1:20"/>
    <row r="47" spans="1:20"/>
    <row r="48" spans="1:20"/>
    <row r="49" spans="1:20"/>
    <row r="50" spans="1:20"/>
    <row r="51" spans="1:20"/>
    <row r="52" spans="1:20"/>
    <row r="53" spans="1:20" s="198" customFormat="1" ht="16.7" customHeight="1">
      <c r="A53" s="324"/>
      <c r="B53" s="427"/>
      <c r="C53" s="428"/>
      <c r="D53" s="428"/>
      <c r="E53" s="428"/>
      <c r="F53" s="1105" t="s">
        <v>1039</v>
      </c>
      <c r="G53" s="1105"/>
      <c r="H53" s="1105"/>
      <c r="I53" s="1105"/>
      <c r="J53" s="1105"/>
      <c r="K53" s="1105"/>
      <c r="L53" s="1105"/>
      <c r="M53" s="1105"/>
      <c r="N53" s="1105"/>
      <c r="O53" s="1105"/>
      <c r="P53" s="1105"/>
      <c r="Q53" s="1105"/>
      <c r="R53" s="1105"/>
      <c r="S53" s="1105"/>
      <c r="T53" s="1105"/>
    </row>
    <row r="54" spans="1:20" s="198" customFormat="1" ht="16.7" customHeight="1">
      <c r="A54" s="429"/>
      <c r="B54" s="428"/>
      <c r="C54" s="428"/>
      <c r="D54" s="428"/>
      <c r="E54" s="428"/>
      <c r="F54" s="1105"/>
      <c r="G54" s="1105"/>
      <c r="H54" s="1105"/>
      <c r="I54" s="1105"/>
      <c r="J54" s="1105"/>
      <c r="K54" s="1105"/>
      <c r="L54" s="1105"/>
      <c r="M54" s="1105"/>
      <c r="N54" s="1105"/>
      <c r="O54" s="1105"/>
      <c r="P54" s="1105"/>
      <c r="Q54" s="1105"/>
      <c r="R54" s="1105"/>
      <c r="S54" s="1105"/>
      <c r="T54" s="1105"/>
    </row>
    <row r="55" spans="1:20" s="198" customFormat="1" ht="16.7" customHeight="1">
      <c r="A55" s="430"/>
      <c r="B55" s="428"/>
      <c r="C55" s="428"/>
      <c r="D55" s="428"/>
      <c r="E55" s="428"/>
      <c r="F55" s="1105"/>
      <c r="G55" s="1105"/>
      <c r="H55" s="1105"/>
      <c r="I55" s="1105"/>
      <c r="J55" s="1105"/>
      <c r="K55" s="1105"/>
      <c r="L55" s="1105"/>
      <c r="M55" s="1105"/>
      <c r="N55" s="1105"/>
      <c r="O55" s="1105"/>
      <c r="P55" s="1105"/>
      <c r="Q55" s="1105"/>
      <c r="R55" s="1105"/>
      <c r="S55" s="1105"/>
      <c r="T55" s="1105"/>
    </row>
    <row r="56" spans="1:20" s="198" customFormat="1" ht="16.7" customHeight="1">
      <c r="A56" s="430"/>
      <c r="B56" s="428"/>
      <c r="C56" s="428"/>
      <c r="D56" s="428"/>
      <c r="E56" s="428"/>
      <c r="F56" s="1105"/>
      <c r="G56" s="1105"/>
      <c r="H56" s="1105"/>
      <c r="I56" s="1105"/>
      <c r="J56" s="1105"/>
      <c r="K56" s="1105"/>
      <c r="L56" s="1105"/>
      <c r="M56" s="1105"/>
      <c r="N56" s="1105"/>
      <c r="O56" s="1105"/>
      <c r="P56" s="1105"/>
      <c r="Q56" s="1105"/>
      <c r="R56" s="1105"/>
      <c r="S56" s="1105"/>
      <c r="T56" s="1105"/>
    </row>
    <row r="57" spans="1:20" ht="5.25" customHeight="1">
      <c r="A57"/>
      <c r="B57"/>
      <c r="C57"/>
      <c r="D57"/>
      <c r="E57"/>
      <c r="F57"/>
      <c r="G57"/>
      <c r="H57"/>
      <c r="I57"/>
      <c r="J57"/>
      <c r="K57"/>
      <c r="L57"/>
      <c r="M57"/>
      <c r="N57"/>
      <c r="O57"/>
      <c r="P57"/>
      <c r="Q57"/>
      <c r="R57"/>
      <c r="S57"/>
      <c r="T57"/>
    </row>
    <row r="58" spans="1:20" s="198" customFormat="1" ht="15" customHeight="1">
      <c r="A58" s="1102" t="s">
        <v>1723</v>
      </c>
      <c r="B58" s="1102"/>
      <c r="C58" s="1102"/>
      <c r="D58" s="1102"/>
      <c r="E58" s="1102"/>
      <c r="F58" s="1102"/>
      <c r="G58" s="1102"/>
      <c r="H58" s="1102"/>
      <c r="I58" s="1102"/>
      <c r="J58" s="1102"/>
      <c r="K58" s="1102"/>
      <c r="L58" s="1102"/>
      <c r="M58" s="1102"/>
      <c r="N58" s="1102"/>
      <c r="O58" s="1102"/>
      <c r="P58" s="1102"/>
      <c r="Q58" s="1102"/>
      <c r="R58" s="1102"/>
      <c r="S58" s="1102"/>
      <c r="T58" s="1102"/>
    </row>
    <row r="59" spans="1:20" s="198" customFormat="1" ht="15" customHeight="1">
      <c r="A59" s="1102"/>
      <c r="B59" s="1102"/>
      <c r="C59" s="1102"/>
      <c r="D59" s="1102"/>
      <c r="E59" s="1102"/>
      <c r="F59" s="1102"/>
      <c r="G59" s="1102"/>
      <c r="H59" s="1102"/>
      <c r="I59" s="1102"/>
      <c r="J59" s="1102"/>
      <c r="K59" s="1102"/>
      <c r="L59" s="1102"/>
      <c r="M59" s="1102"/>
      <c r="N59" s="1102"/>
      <c r="O59" s="1102"/>
      <c r="P59" s="1102"/>
      <c r="Q59" s="1102"/>
      <c r="R59" s="1102"/>
      <c r="S59" s="1102"/>
      <c r="T59" s="1102"/>
    </row>
    <row r="60" spans="1:20" ht="15.75" thickBot="1"/>
    <row r="61" spans="1:20" ht="16.5" thickTop="1" thickBot="1">
      <c r="A61" s="1011" t="s">
        <v>1077</v>
      </c>
      <c r="B61" s="1012"/>
      <c r="C61" s="1013"/>
      <c r="K61" s="1429" t="s">
        <v>1194</v>
      </c>
      <c r="L61" s="1430"/>
      <c r="M61" s="1430"/>
      <c r="N61" s="1431"/>
      <c r="O61" s="560"/>
      <c r="P61" s="560"/>
      <c r="Q61" s="1432" t="s">
        <v>39</v>
      </c>
      <c r="R61" s="1433"/>
      <c r="S61" s="1433"/>
      <c r="T61" s="1434"/>
    </row>
    <row r="62" spans="1:20" ht="15.75" thickTop="1">
      <c r="F62" s="873"/>
      <c r="G62" s="873"/>
      <c r="H62" s="873"/>
      <c r="I62" s="873"/>
      <c r="J62" s="873"/>
      <c r="K62" s="873"/>
      <c r="L62" s="873"/>
      <c r="M62" s="873"/>
      <c r="N62" s="873"/>
      <c r="O62" s="873"/>
      <c r="P62" s="873"/>
      <c r="Q62" s="873"/>
      <c r="R62" s="873"/>
      <c r="S62" s="873"/>
      <c r="T62" s="873"/>
    </row>
    <row r="63" spans="1:20" ht="33.75" customHeight="1">
      <c r="F63" s="873"/>
      <c r="G63" s="873"/>
      <c r="H63" s="873"/>
      <c r="I63" s="873"/>
      <c r="J63" s="873"/>
      <c r="K63" s="873"/>
      <c r="L63" s="1052" t="s">
        <v>614</v>
      </c>
      <c r="M63" s="1054"/>
      <c r="N63" s="1402" t="s">
        <v>814</v>
      </c>
      <c r="O63" s="1404"/>
      <c r="P63" s="870"/>
      <c r="Q63" s="1402" t="s">
        <v>614</v>
      </c>
      <c r="R63" s="1404"/>
      <c r="S63" s="1402" t="s">
        <v>814</v>
      </c>
      <c r="T63" s="1404"/>
    </row>
    <row r="64" spans="1:20">
      <c r="A64" s="566" t="s">
        <v>275</v>
      </c>
      <c r="B64" s="506"/>
      <c r="C64" s="506"/>
      <c r="D64" s="506"/>
      <c r="E64" s="506"/>
      <c r="F64" s="506"/>
      <c r="G64" s="474"/>
      <c r="H64" s="397"/>
      <c r="I64" s="397"/>
      <c r="J64" s="567"/>
      <c r="K64" s="398"/>
      <c r="L64" s="1017">
        <f>VLOOKUP($K$61,D_Annexe!$B$4:$AO$53,MATCH("Agriculture",D_Annexe!$B$4:$AO$4,0),FALSE)</f>
        <v>250524</v>
      </c>
      <c r="M64" s="1016"/>
      <c r="N64" s="1044">
        <f>VLOOKUP($K$61,D_Annexe!$B$4:$AO$53,MATCH("Agriculture",D_Annexe!$B$4:$AO$4,0),FALSE)/VLOOKUP($K$61,D_Annexe!$B$4:$AO$53,MATCH("Postes des Ets actifs N-1",D_Annexe!$B$4:$AO$4,0),FALSE)</f>
        <v>1.1267215431683028E-2</v>
      </c>
      <c r="O64" s="1045"/>
      <c r="Q64" s="1017">
        <f>VLOOKUP($Q$61,D_Annexe!$B$4:$AO$53,MATCH("Agriculture",D_Annexe!$B$4:$AO$4,0),FALSE)</f>
        <v>3394</v>
      </c>
      <c r="R64" s="1016"/>
      <c r="S64" s="1044">
        <f>VLOOKUP($Q$61,D_Annexe!$B$4:$AO$53,MATCH("Agriculture",D_Annexe!$B$4:$AO$4,0),FALSE)/VLOOKUP($Q$61,D_Annexe!$B$4:$AO$53,MATCH("Postes des Ets actifs N-1",D_Annexe!$B$4:$AO$4,0),FALSE)</f>
        <v>9.0031301395299482E-3</v>
      </c>
      <c r="T64" s="1045"/>
    </row>
    <row r="65" spans="1:20">
      <c r="A65" s="566" t="s">
        <v>1000</v>
      </c>
      <c r="B65" s="506"/>
      <c r="C65" s="506"/>
      <c r="D65" s="506"/>
      <c r="E65" s="506"/>
      <c r="F65" s="506"/>
      <c r="G65" s="474"/>
      <c r="H65" s="397"/>
      <c r="I65" s="397"/>
      <c r="J65" s="567"/>
      <c r="K65" s="398"/>
      <c r="L65" s="1017">
        <f>VLOOKUP($K$61,D_Annexe!$B$4:$AO$53,MATCH("Industries extractives",D_Annexe!$B$4:$AO$4,0),FALSE)</f>
        <v>21444</v>
      </c>
      <c r="M65" s="1016"/>
      <c r="N65" s="1044">
        <f>VLOOKUP($K$61,D_Annexe!$B$4:$AO$53,MATCH("Industries extractives",D_Annexe!$B$4:$AO$4,0),FALSE)/VLOOKUP($K$61,D_Annexe!$B$4:$AO$53,MATCH("Postes des Ets actifs N-1",D_Annexe!$B$4:$AO$4,0),FALSE)</f>
        <v>9.6443521465811998E-4</v>
      </c>
      <c r="O65" s="1045"/>
      <c r="Q65" s="1017">
        <f>VLOOKUP($Q$61,D_Annexe!$B$4:$AO$53,MATCH("Industries extractives",D_Annexe!$B$4:$AO$4,0),FALSE)</f>
        <v>237</v>
      </c>
      <c r="R65" s="1016"/>
      <c r="S65" s="1044">
        <f>VLOOKUP($Q$61,D_Annexe!$B$4:$AO$53,MATCH("Industries extractives",D_Annexe!$B$4:$AO$4,0),FALSE)/VLOOKUP($Q$61,D_Annexe!$B$4:$AO$53,MATCH("Postes des Ets actifs N-1",D_Annexe!$B$4:$AO$4,0),FALSE)</f>
        <v>6.2868056660830818E-4</v>
      </c>
      <c r="T65" s="1045"/>
    </row>
    <row r="66" spans="1:20">
      <c r="A66" s="566" t="s">
        <v>1013</v>
      </c>
      <c r="B66" s="506"/>
      <c r="C66" s="506"/>
      <c r="D66" s="506"/>
      <c r="E66" s="506"/>
      <c r="F66" s="506"/>
      <c r="G66" s="474"/>
      <c r="H66" s="397"/>
      <c r="I66" s="397"/>
      <c r="J66" s="567"/>
      <c r="K66" s="398"/>
      <c r="L66" s="1017">
        <f>VLOOKUP($K$61,D_Annexe!$B$4:$AO$53,MATCH("Fab aliments, boiss",D_Annexe!$B$4:$AO$4,0),FALSE)</f>
        <v>553184</v>
      </c>
      <c r="M66" s="1016"/>
      <c r="N66" s="1044">
        <f>VLOOKUP($K$61,D_Annexe!$B$4:$AO$53,MATCH("Fab aliments, boiss",D_Annexe!$B$4:$AO$4,0),FALSE)/VLOOKUP($K$61,D_Annexe!$B$4:$AO$53,MATCH("Postes des Ets actifs N-1",D_Annexe!$B$4:$AO$4,0),FALSE)</f>
        <v>2.4879226347017228E-2</v>
      </c>
      <c r="O66" s="1045"/>
      <c r="Q66" s="1017">
        <f>VLOOKUP($Q$61,D_Annexe!$B$4:$AO$53,MATCH("Fab aliments, boiss",D_Annexe!$B$4:$AO$4,0),FALSE)</f>
        <v>7422</v>
      </c>
      <c r="R66" s="1016"/>
      <c r="S66" s="1044">
        <f>VLOOKUP($Q$61,D_Annexe!$B$4:$AO$53,MATCH("Fab aliments, boiss",D_Annexe!$B$4:$AO$4,0),FALSE)/VLOOKUP($Q$61,D_Annexe!$B$4:$AO$53,MATCH("Postes des Ets actifs N-1",D_Annexe!$B$4:$AO$4,0),FALSE)</f>
        <v>1.9688047111252587E-2</v>
      </c>
      <c r="T66" s="1045"/>
    </row>
    <row r="67" spans="1:20">
      <c r="A67" s="566" t="s">
        <v>1014</v>
      </c>
      <c r="B67" s="506"/>
      <c r="C67" s="506"/>
      <c r="D67" s="506"/>
      <c r="E67" s="506"/>
      <c r="F67" s="506"/>
      <c r="G67" s="474"/>
      <c r="H67" s="397"/>
      <c r="I67" s="397"/>
      <c r="J67" s="567"/>
      <c r="K67" s="398"/>
      <c r="L67" s="1017">
        <f>VLOOKUP($K$61,D_Annexe!$B$4:$AO$53,MATCH("Fab textiles",D_Annexe!$B$4:$AO$4,0),FALSE)</f>
        <v>101576</v>
      </c>
      <c r="M67" s="1016"/>
      <c r="N67" s="1044">
        <f>VLOOKUP($K$61,D_Annexe!$B$4:$AO$53,MATCH("Fab textiles",D_Annexe!$B$4:$AO$4,0),FALSE)/VLOOKUP($K$61,D_Annexe!$B$4:$AO$53,MATCH("Postes des Ets actifs N-1",D_Annexe!$B$4:$AO$4,0),FALSE)</f>
        <v>4.5683394592479576E-3</v>
      </c>
      <c r="O67" s="1045"/>
      <c r="Q67" s="1017">
        <f>VLOOKUP($Q$61,D_Annexe!$B$4:$AO$53,MATCH("Fab textiles",D_Annexe!$B$4:$AO$4,0),FALSE)</f>
        <v>1056</v>
      </c>
      <c r="R67" s="1016"/>
      <c r="S67" s="1044">
        <f>VLOOKUP($Q$61,D_Annexe!$B$4:$AO$53,MATCH("Fab textiles",D_Annexe!$B$4:$AO$4,0),FALSE)/VLOOKUP($Q$61,D_Annexe!$B$4:$AO$53,MATCH("Postes des Ets actifs N-1",D_Annexe!$B$4:$AO$4,0),FALSE)</f>
        <v>2.8012096132420819E-3</v>
      </c>
      <c r="T67" s="1045"/>
    </row>
    <row r="68" spans="1:20">
      <c r="A68" s="566" t="s">
        <v>1001</v>
      </c>
      <c r="B68" s="506"/>
      <c r="C68" s="506"/>
      <c r="D68" s="506"/>
      <c r="E68" s="506"/>
      <c r="F68" s="506"/>
      <c r="G68" s="474"/>
      <c r="H68" s="397"/>
      <c r="I68" s="397"/>
      <c r="J68" s="567"/>
      <c r="K68" s="398"/>
      <c r="L68" s="1017">
        <f>VLOOKUP($K$61,D_Annexe!$B$4:$AO$53,MATCH("Travail bois",D_Annexe!$B$4:$AO$4,0),FALSE)</f>
        <v>179272</v>
      </c>
      <c r="M68" s="1016"/>
      <c r="N68" s="1044">
        <f>VLOOKUP($K$61,D_Annexe!$B$4:$AO$53,MATCH("Travail bois",D_Annexe!$B$4:$AO$4,0),FALSE)/VLOOKUP($K$61,D_Annexe!$B$4:$AO$53,MATCH("Postes des Ets actifs N-1",D_Annexe!$B$4:$AO$4,0),FALSE)</f>
        <v>8.0626855904770787E-3</v>
      </c>
      <c r="O68" s="1045"/>
      <c r="Q68" s="1017">
        <f>VLOOKUP($Q$61,D_Annexe!$B$4:$AO$53,MATCH("Travail bois",D_Annexe!$B$4:$AO$4,0),FALSE)</f>
        <v>2701</v>
      </c>
      <c r="R68" s="1016"/>
      <c r="S68" s="1044">
        <f>VLOOKUP($Q$61,D_Annexe!$B$4:$AO$53,MATCH("Travail bois",D_Annexe!$B$4:$AO$4,0),FALSE)/VLOOKUP($Q$61,D_Annexe!$B$4:$AO$53,MATCH("Postes des Ets actifs N-1",D_Annexe!$B$4:$AO$4,0),FALSE)</f>
        <v>7.164836330839832E-3</v>
      </c>
      <c r="T68" s="1045"/>
    </row>
    <row r="69" spans="1:20">
      <c r="A69" s="566" t="s">
        <v>414</v>
      </c>
      <c r="B69" s="506"/>
      <c r="C69" s="506"/>
      <c r="D69" s="506"/>
      <c r="E69" s="506"/>
      <c r="F69" s="506"/>
      <c r="G69" s="474"/>
      <c r="H69" s="397"/>
      <c r="I69" s="397"/>
      <c r="J69" s="567"/>
      <c r="K69" s="398"/>
      <c r="L69" s="1017">
        <f>VLOOKUP($K$61,D_Annexe!$B$4:$AO$53,MATCH("Cokéfaction et raffinage",D_Annexe!$B$4:$AO$4,0),FALSE)</f>
        <v>9363</v>
      </c>
      <c r="M69" s="1016"/>
      <c r="N69" s="1044">
        <f>VLOOKUP($K$61,D_Annexe!$B$4:$AO$53,MATCH("Cokéfaction et raffinage",D_Annexe!$B$4:$AO$4,0),FALSE)/VLOOKUP($K$61,D_Annexe!$B$4:$AO$53,MATCH("Postes des Ets actifs N-1",D_Annexe!$B$4:$AO$4,0),FALSE)</f>
        <v>4.2109713275713379E-4</v>
      </c>
      <c r="O69" s="1045"/>
      <c r="Q69" s="1017">
        <f>VLOOKUP($Q$61,D_Annexe!$B$4:$AO$53,MATCH("Cokéfaction et raffinage",D_Annexe!$B$4:$AO$4,0),FALSE)</f>
        <v>67</v>
      </c>
      <c r="R69" s="1016"/>
      <c r="S69" s="1044">
        <f>VLOOKUP($Q$61,D_Annexe!$B$4:$AO$53,MATCH("Cokéfaction et raffinage",D_Annexe!$B$4:$AO$4,0),FALSE)/VLOOKUP($Q$61,D_Annexe!$B$4:$AO$53,MATCH("Postes des Ets actifs N-1",D_Annexe!$B$4:$AO$4,0),FALSE)</f>
        <v>1.7772826144623057E-4</v>
      </c>
      <c r="T69" s="1045"/>
    </row>
    <row r="70" spans="1:20">
      <c r="A70" s="566" t="s">
        <v>424</v>
      </c>
      <c r="B70" s="506"/>
      <c r="C70" s="506"/>
      <c r="D70" s="506"/>
      <c r="E70" s="506"/>
      <c r="F70" s="506"/>
      <c r="G70" s="474"/>
      <c r="H70" s="397"/>
      <c r="I70" s="397"/>
      <c r="J70" s="567"/>
      <c r="K70" s="398"/>
      <c r="L70" s="1017">
        <f>VLOOKUP($K$61,D_Annexe!$B$4:$AO$53,MATCH("Industrie chimique",D_Annexe!$B$4:$AO$4,0),FALSE)</f>
        <v>143126</v>
      </c>
      <c r="M70" s="1016"/>
      <c r="N70" s="1044">
        <f>VLOOKUP($K$61,D_Annexe!$B$4:$AO$53,MATCH("Industrie chimique",D_Annexe!$B$4:$AO$4,0),FALSE)/VLOOKUP($K$61,D_Annexe!$B$4:$AO$53,MATCH("Postes des Ets actifs N-1",D_Annexe!$B$4:$AO$4,0),FALSE)</f>
        <v>6.4370338804867599E-3</v>
      </c>
      <c r="O70" s="1045"/>
      <c r="Q70" s="1017">
        <f>VLOOKUP($Q$61,D_Annexe!$B$4:$AO$53,MATCH("Industrie chimique",D_Annexe!$B$4:$AO$4,0),FALSE)</f>
        <v>566</v>
      </c>
      <c r="R70" s="1016"/>
      <c r="S70" s="1044">
        <f>VLOOKUP($Q$61,D_Annexe!$B$4:$AO$53,MATCH("Industrie chimique",D_Annexe!$B$4:$AO$4,0),FALSE)/VLOOKUP($Q$61,D_Annexe!$B$4:$AO$53,MATCH("Postes des Ets actifs N-1",D_Annexe!$B$4:$AO$4,0),FALSE)</f>
        <v>1.5014059101278582E-3</v>
      </c>
      <c r="T70" s="1045"/>
    </row>
    <row r="71" spans="1:20">
      <c r="A71" s="566" t="s">
        <v>425</v>
      </c>
      <c r="B71" s="506"/>
      <c r="C71" s="506"/>
      <c r="D71" s="506"/>
      <c r="E71" s="506"/>
      <c r="F71" s="506"/>
      <c r="G71" s="474"/>
      <c r="H71" s="397"/>
      <c r="I71" s="397"/>
      <c r="J71" s="567"/>
      <c r="K71" s="398"/>
      <c r="L71" s="1017">
        <f>VLOOKUP($K$61,D_Annexe!$B$4:$AO$53,MATCH("Industrie pharmaceutique",D_Annexe!$B$4:$AO$4,0),FALSE)</f>
        <v>76626</v>
      </c>
      <c r="M71" s="1016"/>
      <c r="N71" s="1044">
        <f>VLOOKUP($K$61,D_Annexe!$B$4:$AO$53,MATCH("Industrie pharmaceutique",D_Annexe!$B$4:$AO$4,0),FALSE)/VLOOKUP($K$61,D_Annexe!$B$4:$AO$53,MATCH("Postes des Ets actifs N-1",D_Annexe!$B$4:$AO$4,0),FALSE)</f>
        <v>3.4462233146051622E-3</v>
      </c>
      <c r="O71" s="1045"/>
      <c r="Q71" s="1017">
        <f>VLOOKUP($Q$61,D_Annexe!$B$4:$AO$53,MATCH("Industrie pharmaceutique",D_Annexe!$B$4:$AO$4,0),FALSE)</f>
        <v>80</v>
      </c>
      <c r="R71" s="1016"/>
      <c r="S71" s="1044">
        <f>VLOOKUP($Q$61,D_Annexe!$B$4:$AO$53,MATCH("Industrie pharmaceutique",D_Annexe!$B$4:$AO$4,0),FALSE)/VLOOKUP($Q$61,D_Annexe!$B$4:$AO$53,MATCH("Postes des Ets actifs N-1",D_Annexe!$B$4:$AO$4,0),FALSE)</f>
        <v>2.1221284948803651E-4</v>
      </c>
      <c r="T71" s="1045"/>
    </row>
    <row r="72" spans="1:20">
      <c r="A72" s="566" t="s">
        <v>1015</v>
      </c>
      <c r="B72" s="506"/>
      <c r="C72" s="506"/>
      <c r="D72" s="506"/>
      <c r="E72" s="506"/>
      <c r="F72" s="506"/>
      <c r="G72" s="474"/>
      <c r="H72" s="397"/>
      <c r="I72" s="397"/>
      <c r="J72" s="567"/>
      <c r="K72" s="398"/>
      <c r="L72" s="1017">
        <f>VLOOKUP($K$61,D_Annexe!$B$4:$AO$53,MATCH("Fab ps caou, plas,",D_Annexe!$B$4:$AO$4,0),FALSE)</f>
        <v>259948</v>
      </c>
      <c r="M72" s="1016"/>
      <c r="N72" s="1044">
        <f>VLOOKUP($K$61,D_Annexe!$B$4:$AO$53,MATCH("Fab ps caou, plas,",D_Annexe!$B$4:$AO$4,0),FALSE)/VLOOKUP($K$61,D_Annexe!$B$4:$AO$53,MATCH("Postes des Ets actifs N-1",D_Annexe!$B$4:$AO$4,0),FALSE)</f>
        <v>1.1691056014733678E-2</v>
      </c>
      <c r="O72" s="1045"/>
      <c r="Q72" s="1017">
        <f>VLOOKUP($Q$61,D_Annexe!$B$4:$AO$53,MATCH("Fab ps caou, plas,",D_Annexe!$B$4:$AO$4,0),FALSE)</f>
        <v>3167</v>
      </c>
      <c r="R72" s="1016"/>
      <c r="S72" s="1044">
        <f>VLOOKUP($Q$61,D_Annexe!$B$4:$AO$53,MATCH("Fab ps caou, plas,",D_Annexe!$B$4:$AO$4,0),FALSE)/VLOOKUP($Q$61,D_Annexe!$B$4:$AO$53,MATCH("Postes des Ets actifs N-1",D_Annexe!$B$4:$AO$4,0),FALSE)</f>
        <v>8.4009761791076446E-3</v>
      </c>
      <c r="T72" s="1045"/>
    </row>
    <row r="73" spans="1:20">
      <c r="A73" s="566" t="s">
        <v>1019</v>
      </c>
      <c r="B73" s="506"/>
      <c r="C73" s="506"/>
      <c r="D73" s="506"/>
      <c r="E73" s="506"/>
      <c r="F73" s="506"/>
      <c r="G73" s="474"/>
      <c r="H73" s="397"/>
      <c r="I73" s="397"/>
      <c r="J73" s="567"/>
      <c r="K73" s="398"/>
      <c r="L73" s="1017">
        <f>VLOOKUP($K$61,D_Annexe!$B$4:$AO$53,MATCH("Métallurgie et fab ps mét sauf machines",D_Annexe!$B$4:$AO$4,0),FALSE)</f>
        <v>376343</v>
      </c>
      <c r="M73" s="1016"/>
      <c r="N73" s="1044">
        <f>VLOOKUP($K$61,D_Annexe!$B$4:$AO$53,MATCH("Métallurgie et fab ps mét sauf machines",D_Annexe!$B$4:$AO$4,0),FALSE)/VLOOKUP($K$61,D_Annexe!$B$4:$AO$53,MATCH("Postes des Ets actifs N-1",D_Annexe!$B$4:$AO$4,0),FALSE)</f>
        <v>1.6925873996925987E-2</v>
      </c>
      <c r="O73" s="1045"/>
      <c r="Q73" s="1017">
        <f>VLOOKUP($Q$61,D_Annexe!$B$4:$AO$53,MATCH("Métallurgie et fab ps mét sauf machines",D_Annexe!$B$4:$AO$4,0),FALSE)</f>
        <v>5556</v>
      </c>
      <c r="R73" s="1016"/>
      <c r="S73" s="1044">
        <f>VLOOKUP($Q$61,D_Annexe!$B$4:$AO$53,MATCH("Métallurgie et fab ps mét sauf machines",D_Annexe!$B$4:$AO$4,0),FALSE)/VLOOKUP($Q$61,D_Annexe!$B$4:$AO$53,MATCH("Postes des Ets actifs N-1",D_Annexe!$B$4:$AO$4,0),FALSE)</f>
        <v>1.4738182396944135E-2</v>
      </c>
      <c r="T73" s="1045"/>
    </row>
    <row r="74" spans="1:20">
      <c r="A74" s="566" t="s">
        <v>1002</v>
      </c>
      <c r="B74" s="506"/>
      <c r="C74" s="506"/>
      <c r="D74" s="506"/>
      <c r="E74" s="506"/>
      <c r="F74" s="506"/>
      <c r="G74" s="474"/>
      <c r="H74" s="397"/>
      <c r="I74" s="397"/>
      <c r="J74" s="567"/>
      <c r="K74" s="398"/>
      <c r="L74" s="1017">
        <f>VLOOKUP($K$61,D_Annexe!$B$4:$AO$53,MATCH("Fab prod informat, électroniq",D_Annexe!$B$4:$AO$4,0),FALSE)</f>
        <v>127125</v>
      </c>
      <c r="M74" s="1016"/>
      <c r="N74" s="1044">
        <f>VLOOKUP($K$61,D_Annexe!$B$4:$AO$53,MATCH("Fab prod informat, électroniq",D_Annexe!$B$4:$AO$4,0),FALSE)/VLOOKUP($K$61,D_Annexe!$B$4:$AO$53,MATCH("Postes des Ets actifs N-1",D_Annexe!$B$4:$AO$4,0),FALSE)</f>
        <v>5.7173953862811747E-3</v>
      </c>
      <c r="O74" s="1045"/>
      <c r="Q74" s="1017">
        <f>VLOOKUP($Q$61,D_Annexe!$B$4:$AO$53,MATCH("Fab prod informat, électroniq",D_Annexe!$B$4:$AO$4,0),FALSE)</f>
        <v>1428</v>
      </c>
      <c r="R74" s="1016"/>
      <c r="S74" s="1044">
        <f>VLOOKUP($Q$61,D_Annexe!$B$4:$AO$53,MATCH("Fab prod informat, électroniq",D_Annexe!$B$4:$AO$4,0),FALSE)/VLOOKUP($Q$61,D_Annexe!$B$4:$AO$53,MATCH("Postes des Ets actifs N-1",D_Annexe!$B$4:$AO$4,0),FALSE)</f>
        <v>3.7879993633614514E-3</v>
      </c>
      <c r="T74" s="1045"/>
    </row>
    <row r="75" spans="1:20">
      <c r="A75" s="566" t="s">
        <v>426</v>
      </c>
      <c r="B75" s="506"/>
      <c r="C75" s="506"/>
      <c r="D75" s="506"/>
      <c r="E75" s="506"/>
      <c r="F75" s="506"/>
      <c r="G75" s="474"/>
      <c r="H75" s="397"/>
      <c r="I75" s="397"/>
      <c r="J75" s="567"/>
      <c r="K75" s="398"/>
      <c r="L75" s="1017">
        <f>VLOOKUP($K$61,D_Annexe!$B$4:$AO$53,MATCH("Fabrication d'équipements électriques",D_Annexe!$B$4:$AO$4,0),FALSE)</f>
        <v>111293</v>
      </c>
      <c r="M75" s="1016"/>
      <c r="N75" s="1044">
        <f>VLOOKUP($K$61,D_Annexe!$B$4:$AO$53,MATCH("Fabrication d'équipements électriques",D_Annexe!$B$4:$AO$4,0),FALSE)/VLOOKUP($K$61,D_Annexe!$B$4:$AO$53,MATCH("Postes des Ets actifs N-1",D_Annexe!$B$4:$AO$4,0),FALSE)</f>
        <v>5.0053575986264759E-3</v>
      </c>
      <c r="O75" s="1045"/>
      <c r="Q75" s="1017">
        <f>VLOOKUP($Q$61,D_Annexe!$B$4:$AO$53,MATCH("Fabrication d'équipements électriques",D_Annexe!$B$4:$AO$4,0),FALSE)</f>
        <v>827</v>
      </c>
      <c r="R75" s="1016"/>
      <c r="S75" s="1044">
        <f>VLOOKUP($Q$61,D_Annexe!$B$4:$AO$53,MATCH("Fabrication d'équipements électriques",D_Annexe!$B$4:$AO$4,0),FALSE)/VLOOKUP($Q$61,D_Annexe!$B$4:$AO$53,MATCH("Postes des Ets actifs N-1",D_Annexe!$B$4:$AO$4,0),FALSE)</f>
        <v>2.1937503315825773E-3</v>
      </c>
      <c r="T75" s="1045"/>
    </row>
    <row r="76" spans="1:20">
      <c r="A76" s="566" t="s">
        <v>1003</v>
      </c>
      <c r="B76" s="506"/>
      <c r="C76" s="506"/>
      <c r="D76" s="506"/>
      <c r="E76" s="506"/>
      <c r="F76" s="506"/>
      <c r="G76" s="474"/>
      <c r="H76" s="397"/>
      <c r="I76" s="397"/>
      <c r="J76" s="567"/>
      <c r="K76" s="398"/>
      <c r="L76" s="1017">
        <f>VLOOKUP($K$61,D_Annexe!$B$4:$AO$53,MATCH("Fabric de machines ",D_Annexe!$B$4:$AO$4,0),FALSE)</f>
        <v>175769</v>
      </c>
      <c r="M76" s="1016"/>
      <c r="N76" s="1044">
        <f>VLOOKUP($K$61,D_Annexe!$B$4:$AO$53,MATCH("Fabric de machines ",D_Annexe!$B$4:$AO$4,0),FALSE)/VLOOKUP($K$61,D_Annexe!$B$4:$AO$53,MATCH("Postes des Ets actifs N-1",D_Annexe!$B$4:$AO$4,0),FALSE)</f>
        <v>7.9051395842773316E-3</v>
      </c>
      <c r="O76" s="1045"/>
      <c r="Q76" s="1017">
        <f>VLOOKUP($Q$61,D_Annexe!$B$4:$AO$53,MATCH("Fabric de machines ",D_Annexe!$B$4:$AO$4,0),FALSE)</f>
        <v>2031</v>
      </c>
      <c r="R76" s="1016"/>
      <c r="S76" s="1044">
        <f>VLOOKUP($Q$61,D_Annexe!$B$4:$AO$53,MATCH("Fabric de machines ",D_Annexe!$B$4:$AO$4,0),FALSE)/VLOOKUP($Q$61,D_Annexe!$B$4:$AO$53,MATCH("Postes des Ets actifs N-1",D_Annexe!$B$4:$AO$4,0),FALSE)</f>
        <v>5.3875537163775265E-3</v>
      </c>
      <c r="T76" s="1045"/>
    </row>
    <row r="77" spans="1:20">
      <c r="A77" s="566" t="s">
        <v>416</v>
      </c>
      <c r="B77" s="506"/>
      <c r="C77" s="506"/>
      <c r="D77" s="506"/>
      <c r="E77" s="506"/>
      <c r="F77" s="506"/>
      <c r="G77" s="474"/>
      <c r="H77" s="397"/>
      <c r="I77" s="397"/>
      <c r="J77" s="567"/>
      <c r="K77" s="398"/>
      <c r="L77" s="1017">
        <f>VLOOKUP($K$61,D_Annexe!$B$4:$AO$53,MATCH("Fabrication de matériels de transport",D_Annexe!$B$4:$AO$4,0),FALSE)</f>
        <v>354116</v>
      </c>
      <c r="M77" s="1016"/>
      <c r="N77" s="1044">
        <f>VLOOKUP($K$61,D_Annexe!$B$4:$AO$53,MATCH("Fabrication de matériels de transport",D_Annexe!$B$4:$AO$4,0),FALSE)/VLOOKUP($K$61,D_Annexe!$B$4:$AO$53,MATCH("Postes des Ets actifs N-1",D_Annexe!$B$4:$AO$4,0),FALSE)</f>
        <v>1.5926223674401923E-2</v>
      </c>
      <c r="O77" s="1045"/>
      <c r="Q77" s="1017">
        <f>VLOOKUP($Q$61,D_Annexe!$B$4:$AO$53,MATCH("Fabrication de matériels de transport",D_Annexe!$B$4:$AO$4,0),FALSE)</f>
        <v>4275</v>
      </c>
      <c r="R77" s="1016"/>
      <c r="S77" s="1044">
        <f>VLOOKUP($Q$61,D_Annexe!$B$4:$AO$53,MATCH("Fabrication de matériels de transport",D_Annexe!$B$4:$AO$4,0),FALSE)/VLOOKUP($Q$61,D_Annexe!$B$4:$AO$53,MATCH("Postes des Ets actifs N-1",D_Annexe!$B$4:$AO$4,0),FALSE)</f>
        <v>1.1340124144516951E-2</v>
      </c>
      <c r="T77" s="1045"/>
    </row>
    <row r="78" spans="1:20">
      <c r="A78" s="566" t="s">
        <v>1016</v>
      </c>
      <c r="B78" s="506"/>
      <c r="C78" s="506"/>
      <c r="D78" s="506"/>
      <c r="E78" s="506"/>
      <c r="F78" s="506"/>
      <c r="G78" s="474"/>
      <c r="H78" s="397"/>
      <c r="I78" s="397"/>
      <c r="J78" s="567"/>
      <c r="K78" s="398"/>
      <c r="L78" s="1017">
        <f>VLOOKUP($K$61,D_Annexe!$B$4:$AO$53,MATCH("Aut ind manuf",D_Annexe!$B$4:$AO$4,0),FALSE)</f>
        <v>263442</v>
      </c>
      <c r="M78" s="1016"/>
      <c r="N78" s="1044">
        <f>VLOOKUP($K$61,D_Annexe!$B$4:$AO$53,MATCH("Aut ind manuf",D_Annexe!$B$4:$AO$4,0),FALSE)/VLOOKUP($K$61,D_Annexe!$B$4:$AO$53,MATCH("Postes des Ets actifs N-1",D_Annexe!$B$4:$AO$4,0),FALSE)</f>
        <v>1.1848197249578644E-2</v>
      </c>
      <c r="O78" s="1045"/>
      <c r="Q78" s="1017">
        <f>VLOOKUP($Q$61,D_Annexe!$B$4:$AO$53,MATCH("Aut ind manuf",D_Annexe!$B$4:$AO$4,0),FALSE)</f>
        <v>5127</v>
      </c>
      <c r="R78" s="1016"/>
      <c r="S78" s="1044">
        <f>VLOOKUP($Q$61,D_Annexe!$B$4:$AO$53,MATCH("Aut ind manuf",D_Annexe!$B$4:$AO$4,0),FALSE)/VLOOKUP($Q$61,D_Annexe!$B$4:$AO$53,MATCH("Postes des Ets actifs N-1",D_Annexe!$B$4:$AO$4,0),FALSE)</f>
        <v>1.3600190991564539E-2</v>
      </c>
      <c r="T78" s="1045"/>
    </row>
    <row r="79" spans="1:20">
      <c r="A79" s="566" t="s">
        <v>1017</v>
      </c>
      <c r="B79" s="506"/>
      <c r="C79" s="506"/>
      <c r="D79" s="506"/>
      <c r="E79" s="506"/>
      <c r="F79" s="506"/>
      <c r="G79" s="474"/>
      <c r="H79" s="397"/>
      <c r="I79" s="397"/>
      <c r="J79" s="567"/>
      <c r="K79" s="398"/>
      <c r="L79" s="1017">
        <f>VLOOKUP($K$61,D_Annexe!$B$4:$AO$53,MATCH("Prdn  distr élec gaz vap ",D_Annexe!$B$4:$AO$4,0),FALSE)</f>
        <v>179201</v>
      </c>
      <c r="M79" s="1016"/>
      <c r="N79" s="1044">
        <f>VLOOKUP($K$61,D_Annexe!$B$4:$AO$53,MATCH("Prdn  distr élec gaz vap ",D_Annexe!$B$4:$AO$4,0),FALSE)/VLOOKUP($K$61,D_Annexe!$B$4:$AO$53,MATCH("Postes des Ets actifs N-1",D_Annexe!$B$4:$AO$4,0),FALSE)</f>
        <v>8.0594923942338068E-3</v>
      </c>
      <c r="O79" s="1045"/>
      <c r="Q79" s="1017">
        <f>VLOOKUP($Q$61,D_Annexe!$B$4:$AO$53,MATCH("Prdn  distr élec gaz vap ",D_Annexe!$B$4:$AO$4,0),FALSE)</f>
        <v>4199</v>
      </c>
      <c r="R79" s="1016"/>
      <c r="S79" s="1044">
        <f>VLOOKUP($Q$61,D_Annexe!$B$4:$AO$53,MATCH("Prdn  distr élec gaz vap ",D_Annexe!$B$4:$AO$4,0),FALSE)/VLOOKUP($Q$61,D_Annexe!$B$4:$AO$53,MATCH("Postes des Ets actifs N-1",D_Annexe!$B$4:$AO$4,0),FALSE)</f>
        <v>1.1138521937503316E-2</v>
      </c>
      <c r="T79" s="1045"/>
    </row>
    <row r="80" spans="1:20">
      <c r="A80" s="566" t="s">
        <v>1020</v>
      </c>
      <c r="B80" s="506"/>
      <c r="C80" s="506"/>
      <c r="D80" s="506"/>
      <c r="E80" s="506"/>
      <c r="F80" s="506"/>
      <c r="G80" s="474"/>
      <c r="H80" s="397"/>
      <c r="I80" s="397"/>
      <c r="J80" s="567"/>
      <c r="K80" s="398"/>
      <c r="L80" s="1017">
        <f>VLOOKUP($K$61,D_Annexe!$B$4:$AO$53,MATCH("Gestion eau, déchets  dépollution",D_Annexe!$B$4:$AO$4,0),FALSE)</f>
        <v>187530</v>
      </c>
      <c r="M80" s="1016"/>
      <c r="N80" s="1044">
        <f>VLOOKUP($K$61,D_Annexe!$B$4:$AO$53,MATCH("Gestion eau, déchets  dépollution",D_Annexe!$B$4:$AO$4,0),FALSE)/VLOOKUP($K$61,D_Annexe!$B$4:$AO$53,MATCH("Postes des Ets actifs N-1",D_Annexe!$B$4:$AO$4,0),FALSE)</f>
        <v>8.4340857957861046E-3</v>
      </c>
      <c r="O80" s="1045"/>
      <c r="Q80" s="1017">
        <f>VLOOKUP($Q$61,D_Annexe!$B$4:$AO$53,MATCH("Gestion eau, déchets  dépollution",D_Annexe!$B$4:$AO$4,0),FALSE)</f>
        <v>2916</v>
      </c>
      <c r="R80" s="1016"/>
      <c r="S80" s="1044">
        <f>VLOOKUP($Q$61,D_Annexe!$B$4:$AO$53,MATCH("Gestion eau, déchets  dépollution",D_Annexe!$B$4:$AO$4,0),FALSE)/VLOOKUP($Q$61,D_Annexe!$B$4:$AO$53,MATCH("Postes des Ets actifs N-1",D_Annexe!$B$4:$AO$4,0),FALSE)</f>
        <v>7.7351583638389301E-3</v>
      </c>
      <c r="T80" s="1045"/>
    </row>
    <row r="81" spans="1:20">
      <c r="A81" s="566" t="s">
        <v>1004</v>
      </c>
      <c r="B81" s="506"/>
      <c r="C81" s="506"/>
      <c r="D81" s="506"/>
      <c r="E81" s="506"/>
      <c r="F81" s="506"/>
      <c r="G81" s="474"/>
      <c r="H81" s="397"/>
      <c r="I81" s="397"/>
      <c r="J81" s="567"/>
      <c r="K81" s="398"/>
      <c r="L81" s="1017">
        <f>VLOOKUP($K$61,D_Annexe!$B$4:$AO$53,MATCH("Construction",D_Annexe!$B$4:$AO$4,0),FALSE)</f>
        <v>1339790</v>
      </c>
      <c r="M81" s="1016"/>
      <c r="N81" s="1044">
        <f>VLOOKUP($K$61,D_Annexe!$B$4:$AO$53,MATCH("Construction",D_Annexe!$B$4:$AO$4,0),FALSE)/VLOOKUP($K$61,D_Annexe!$B$4:$AO$53,MATCH("Postes des Ets actifs N-1",D_Annexe!$B$4:$AO$4,0),FALSE)</f>
        <v>6.0256512602443697E-2</v>
      </c>
      <c r="O81" s="1045"/>
      <c r="Q81" s="1017">
        <f>VLOOKUP($Q$61,D_Annexe!$B$4:$AO$53,MATCH("Construction",D_Annexe!$B$4:$AO$4,0),FALSE)</f>
        <v>23784</v>
      </c>
      <c r="R81" s="1016"/>
      <c r="S81" s="1044">
        <f>VLOOKUP($Q$61,D_Annexe!$B$4:$AO$53,MATCH("Construction",D_Annexe!$B$4:$AO$4,0),FALSE)/VLOOKUP($Q$61,D_Annexe!$B$4:$AO$53,MATCH("Postes des Ets actifs N-1",D_Annexe!$B$4:$AO$4,0),FALSE)</f>
        <v>6.3090880152793252E-2</v>
      </c>
      <c r="T81" s="1045"/>
    </row>
    <row r="82" spans="1:20">
      <c r="A82" s="566" t="s">
        <v>278</v>
      </c>
      <c r="B82" s="506"/>
      <c r="C82" s="506"/>
      <c r="D82" s="506"/>
      <c r="E82" s="506"/>
      <c r="F82" s="506"/>
      <c r="G82" s="474"/>
      <c r="H82" s="397"/>
      <c r="I82" s="397"/>
      <c r="J82" s="567"/>
      <c r="K82" s="398"/>
      <c r="L82" s="1017">
        <f>VLOOKUP($K$61,D_Annexe!$B$4:$AO$53,MATCH("Commerce ; répar automobile  motocycle",D_Annexe!$B$4:$AO$4,0),FALSE)</f>
        <v>3033523</v>
      </c>
      <c r="M82" s="1016"/>
      <c r="N82" s="1044">
        <f>VLOOKUP($K$61,D_Annexe!$B$4:$AO$53,MATCH("Commerce ; répar automobile  motocycle",D_Annexe!$B$4:$AO$4,0),FALSE)/VLOOKUP($K$61,D_Annexe!$B$4:$AO$53,MATCH("Postes des Ets actifs N-1",D_Annexe!$B$4:$AO$4,0),FALSE)</f>
        <v>0.13643146827435851</v>
      </c>
      <c r="O82" s="1045"/>
      <c r="Q82" s="1017">
        <f>VLOOKUP($Q$61,D_Annexe!$B$4:$AO$53,MATCH("Commerce ; répar automobile  motocycle",D_Annexe!$B$4:$AO$4,0),FALSE)</f>
        <v>50700</v>
      </c>
      <c r="R82" s="1016"/>
      <c r="S82" s="1044">
        <f>VLOOKUP($Q$61,D_Annexe!$B$4:$AO$53,MATCH("Commerce ; répar automobile  motocycle",D_Annexe!$B$4:$AO$4,0),FALSE)/VLOOKUP($Q$61,D_Annexe!$B$4:$AO$53,MATCH("Postes des Ets actifs N-1",D_Annexe!$B$4:$AO$4,0),FALSE)</f>
        <v>0.13448989336304312</v>
      </c>
      <c r="T82" s="1045"/>
    </row>
    <row r="83" spans="1:20">
      <c r="A83" s="566" t="s">
        <v>1005</v>
      </c>
      <c r="B83" s="506"/>
      <c r="C83" s="506"/>
      <c r="D83" s="506"/>
      <c r="E83" s="506"/>
      <c r="F83" s="506"/>
      <c r="G83" s="474"/>
      <c r="H83" s="397"/>
      <c r="I83" s="397"/>
      <c r="J83" s="567"/>
      <c r="K83" s="398"/>
      <c r="L83" s="1017">
        <f>VLOOKUP($K$61,D_Annexe!$B$4:$AO$53,MATCH("Transports et entreposage",D_Annexe!$B$4:$AO$4,0),FALSE)</f>
        <v>1331900</v>
      </c>
      <c r="M83" s="1016"/>
      <c r="N83" s="1044">
        <f>VLOOKUP($K$61,D_Annexe!$B$4:$AO$53,MATCH("Transports et entreposage",D_Annexe!$B$4:$AO$4,0),FALSE)/VLOOKUP($K$61,D_Annexe!$B$4:$AO$53,MATCH("Postes des Ets actifs N-1",D_Annexe!$B$4:$AO$4,0),FALSE)</f>
        <v>5.990166304808571E-2</v>
      </c>
      <c r="O83" s="1045"/>
      <c r="Q83" s="1017">
        <f>VLOOKUP($Q$61,D_Annexe!$B$4:$AO$53,MATCH("Transports et entreposage",D_Annexe!$B$4:$AO$4,0),FALSE)</f>
        <v>24131</v>
      </c>
      <c r="R83" s="1016"/>
      <c r="S83" s="1044">
        <f>VLOOKUP($Q$61,D_Annexe!$B$4:$AO$53,MATCH("Transports et entreposage",D_Annexe!$B$4:$AO$4,0),FALSE)/VLOOKUP($Q$61,D_Annexe!$B$4:$AO$53,MATCH("Postes des Ets actifs N-1",D_Annexe!$B$4:$AO$4,0),FALSE)</f>
        <v>6.4011353387447609E-2</v>
      </c>
      <c r="T83" s="1045"/>
    </row>
    <row r="84" spans="1:20">
      <c r="A84" s="566" t="s">
        <v>280</v>
      </c>
      <c r="B84" s="506"/>
      <c r="C84" s="506"/>
      <c r="D84" s="506"/>
      <c r="E84" s="506"/>
      <c r="F84" s="506"/>
      <c r="G84" s="474"/>
      <c r="H84" s="397"/>
      <c r="I84" s="397"/>
      <c r="J84" s="567"/>
      <c r="K84" s="398"/>
      <c r="L84" s="1017">
        <f>VLOOKUP($K$61,D_Annexe!$B$4:$AO$53,MATCH("Hébergement et restauration",D_Annexe!$B$4:$AO$4,0),FALSE)</f>
        <v>941442</v>
      </c>
      <c r="M84" s="1016"/>
      <c r="N84" s="1044">
        <f>VLOOKUP($K$61,D_Annexe!$B$4:$AO$53,MATCH("Hébergement et restauration",D_Annexe!$B$4:$AO$4,0),FALSE)/VLOOKUP($K$61,D_Annexe!$B$4:$AO$53,MATCH("Postes des Ets actifs N-1",D_Annexe!$B$4:$AO$4,0),FALSE)</f>
        <v>4.2340972643078241E-2</v>
      </c>
      <c r="O84" s="1045"/>
      <c r="Q84" s="1017">
        <f>VLOOKUP($Q$61,D_Annexe!$B$4:$AO$53,MATCH("Hébergement et restauration",D_Annexe!$B$4:$AO$4,0),FALSE)</f>
        <v>11851</v>
      </c>
      <c r="R84" s="1016"/>
      <c r="S84" s="1044">
        <f>VLOOKUP($Q$61,D_Annexe!$B$4:$AO$53,MATCH("Hébergement et restauration",D_Annexe!$B$4:$AO$4,0),FALSE)/VLOOKUP($Q$61,D_Annexe!$B$4:$AO$53,MATCH("Postes des Ets actifs N-1",D_Annexe!$B$4:$AO$4,0),FALSE)</f>
        <v>3.1436680991034006E-2</v>
      </c>
      <c r="T84" s="1045"/>
    </row>
    <row r="85" spans="1:20">
      <c r="A85" s="566" t="s">
        <v>1006</v>
      </c>
      <c r="B85" s="506"/>
      <c r="C85" s="506"/>
      <c r="D85" s="506"/>
      <c r="E85" s="506"/>
      <c r="F85" s="506"/>
      <c r="G85" s="474"/>
      <c r="H85" s="397"/>
      <c r="I85" s="397"/>
      <c r="J85" s="567"/>
      <c r="K85" s="398"/>
      <c r="L85" s="1017">
        <f>VLOOKUP($K$61,D_Annexe!$B$4:$AO$53,MATCH("Édition, audiovisuel et diffusion",D_Annexe!$B$4:$AO$4,0),FALSE)</f>
        <v>201203</v>
      </c>
      <c r="M85" s="1016"/>
      <c r="N85" s="1044">
        <f>VLOOKUP($K$61,D_Annexe!$B$4:$AO$53,MATCH("Édition, audiovisuel et diffusion",D_Annexe!$B$4:$AO$4,0),FALSE)/VLOOKUP($K$61,D_Annexe!$B$4:$AO$53,MATCH("Postes des Ets actifs N-1",D_Annexe!$B$4:$AO$4,0),FALSE)</f>
        <v>9.0490234328883465E-3</v>
      </c>
      <c r="O85" s="1045"/>
      <c r="Q85" s="1017">
        <f>VLOOKUP($Q$61,D_Annexe!$B$4:$AO$53,MATCH("Édition, audiovisuel et diffusion",D_Annexe!$B$4:$AO$4,0),FALSE)</f>
        <v>3047</v>
      </c>
      <c r="R85" s="1016"/>
      <c r="S85" s="1044">
        <f>VLOOKUP($Q$61,D_Annexe!$B$4:$AO$53,MATCH("Édition, audiovisuel et diffusion",D_Annexe!$B$4:$AO$4,0),FALSE)/VLOOKUP($Q$61,D_Annexe!$B$4:$AO$53,MATCH("Postes des Ets actifs N-1",D_Annexe!$B$4:$AO$4,0),FALSE)</f>
        <v>8.08265690487559E-3</v>
      </c>
      <c r="T85" s="1045"/>
    </row>
    <row r="86" spans="1:20">
      <c r="A86" s="566" t="s">
        <v>428</v>
      </c>
      <c r="B86" s="506"/>
      <c r="C86" s="506"/>
      <c r="D86" s="506"/>
      <c r="E86" s="506"/>
      <c r="F86" s="506"/>
      <c r="G86" s="474"/>
      <c r="H86" s="397"/>
      <c r="I86" s="397"/>
      <c r="J86" s="567"/>
      <c r="K86" s="398"/>
      <c r="L86" s="1017">
        <f>VLOOKUP($K$61,D_Annexe!$B$4:$AO$53,MATCH("Télécommunications",D_Annexe!$B$4:$AO$4,0),FALSE)</f>
        <v>117207</v>
      </c>
      <c r="M86" s="1016"/>
      <c r="N86" s="1044">
        <f>VLOOKUP($K$61,D_Annexe!$B$4:$AO$53,MATCH("Télécommunications",D_Annexe!$B$4:$AO$4,0),FALSE)/VLOOKUP($K$61,D_Annexe!$B$4:$AO$53,MATCH("Postes des Ets actifs N-1",D_Annexe!$B$4:$AO$4,0),FALSE)</f>
        <v>5.2713373533125477E-3</v>
      </c>
      <c r="O86" s="1045"/>
      <c r="Q86" s="1017">
        <f>VLOOKUP($Q$61,D_Annexe!$B$4:$AO$53,MATCH("Télécommunications",D_Annexe!$B$4:$AO$4,0),FALSE)</f>
        <v>3652</v>
      </c>
      <c r="R86" s="1016"/>
      <c r="S86" s="1044">
        <f>VLOOKUP($Q$61,D_Annexe!$B$4:$AO$53,MATCH("Télécommunications",D_Annexe!$B$4:$AO$4,0),FALSE)/VLOOKUP($Q$61,D_Annexe!$B$4:$AO$53,MATCH("Postes des Ets actifs N-1",D_Annexe!$B$4:$AO$4,0),FALSE)</f>
        <v>9.6875165791288666E-3</v>
      </c>
      <c r="T86" s="1045"/>
    </row>
    <row r="87" spans="1:20">
      <c r="A87" s="566" t="s">
        <v>1007</v>
      </c>
      <c r="B87" s="506"/>
      <c r="C87" s="506"/>
      <c r="D87" s="506"/>
      <c r="E87" s="506"/>
      <c r="F87" s="506"/>
      <c r="G87" s="474"/>
      <c r="H87" s="397"/>
      <c r="I87" s="397"/>
      <c r="J87" s="567"/>
      <c r="K87" s="398"/>
      <c r="L87" s="1017">
        <f>VLOOKUP($K$61,D_Annexe!$B$4:$AO$53,MATCH("Act informatique et d'information",D_Annexe!$B$4:$AO$4,0),FALSE)</f>
        <v>392552</v>
      </c>
      <c r="M87" s="1016"/>
      <c r="N87" s="1044">
        <f>VLOOKUP($K$61,D_Annexe!$B$4:$AO$53,MATCH("Act informatique et d'information",D_Annexe!$B$4:$AO$4,0),FALSE)/VLOOKUP($K$61,D_Annexe!$B$4:$AO$53,MATCH("Postes des Ets actifs N-1",D_Annexe!$B$4:$AO$4,0),FALSE)</f>
        <v>1.7654867206886509E-2</v>
      </c>
      <c r="O87" s="1045"/>
      <c r="Q87" s="1017">
        <f>VLOOKUP($Q$61,D_Annexe!$B$4:$AO$53,MATCH("Act informatique et d'information",D_Annexe!$B$4:$AO$4,0),FALSE)</f>
        <v>16033</v>
      </c>
      <c r="R87" s="1016"/>
      <c r="S87" s="1044">
        <f>VLOOKUP($Q$61,D_Annexe!$B$4:$AO$53,MATCH("Act informatique et d'information",D_Annexe!$B$4:$AO$4,0),FALSE)/VLOOKUP($Q$61,D_Annexe!$B$4:$AO$53,MATCH("Postes des Ets actifs N-1",D_Annexe!$B$4:$AO$4,0),FALSE)</f>
        <v>4.2530107698021118E-2</v>
      </c>
      <c r="T87" s="1045"/>
    </row>
    <row r="88" spans="1:20">
      <c r="A88" s="566" t="s">
        <v>282</v>
      </c>
      <c r="B88" s="506"/>
      <c r="C88" s="506"/>
      <c r="D88" s="506"/>
      <c r="E88" s="506"/>
      <c r="F88" s="506"/>
      <c r="G88" s="474"/>
      <c r="H88" s="397"/>
      <c r="I88" s="397"/>
      <c r="J88" s="567"/>
      <c r="K88" s="398"/>
      <c r="L88" s="1017">
        <f>VLOOKUP($K$61,D_Annexe!$B$4:$AO$53,MATCH("Activités financières et d'assurance",D_Annexe!$B$4:$AO$4,0),FALSE)</f>
        <v>843382</v>
      </c>
      <c r="M88" s="1016"/>
      <c r="N88" s="1044">
        <f>VLOOKUP($K$61,D_Annexe!$B$4:$AO$53,MATCH("Activités financières et d'assurance",D_Annexe!$B$4:$AO$4,0),FALSE)/VLOOKUP($K$61,D_Annexe!$B$4:$AO$53,MATCH("Postes des Ets actifs N-1",D_Annexe!$B$4:$AO$4,0),FALSE)</f>
        <v>3.7930763859764717E-2</v>
      </c>
      <c r="O88" s="1045"/>
      <c r="Q88" s="1017">
        <f>VLOOKUP($Q$61,D_Annexe!$B$4:$AO$53,MATCH("Activités financières et d'assurance",D_Annexe!$B$4:$AO$4,0),FALSE)</f>
        <v>17944</v>
      </c>
      <c r="R88" s="1016"/>
      <c r="S88" s="1044">
        <f>VLOOKUP($Q$61,D_Annexe!$B$4:$AO$53,MATCH("Activités financières et d'assurance",D_Annexe!$B$4:$AO$4,0),FALSE)/VLOOKUP($Q$61,D_Annexe!$B$4:$AO$53,MATCH("Postes des Ets actifs N-1",D_Annexe!$B$4:$AO$4,0),FALSE)</f>
        <v>4.7599342140166589E-2</v>
      </c>
      <c r="T88" s="1045"/>
    </row>
    <row r="89" spans="1:20">
      <c r="A89" s="566" t="s">
        <v>283</v>
      </c>
      <c r="B89" s="506"/>
      <c r="C89" s="506"/>
      <c r="D89" s="506"/>
      <c r="E89" s="506"/>
      <c r="F89" s="506"/>
      <c r="G89" s="474"/>
      <c r="H89" s="397"/>
      <c r="I89" s="397"/>
      <c r="J89" s="567"/>
      <c r="K89" s="398"/>
      <c r="L89" s="1017">
        <f>VLOOKUP($K$61,D_Annexe!$B$4:$AO$53,MATCH("Activités immobilières",D_Annexe!$B$4:$AO$4,0),FALSE)</f>
        <v>232314</v>
      </c>
      <c r="M89" s="1016"/>
      <c r="N89" s="1044">
        <f>VLOOKUP($K$61,D_Annexe!$B$4:$AO$53,MATCH("Activités immobilières",D_Annexe!$B$4:$AO$4,0),FALSE)/VLOOKUP($K$61,D_Annexe!$B$4:$AO$53,MATCH("Postes des Ets actifs N-1",D_Annexe!$B$4:$AO$4,0),FALSE)</f>
        <v>1.0448228057176203E-2</v>
      </c>
      <c r="O89" s="1045"/>
      <c r="Q89" s="1017">
        <f>VLOOKUP($Q$61,D_Annexe!$B$4:$AO$53,MATCH("Activités immobilières",D_Annexe!$B$4:$AO$4,0),FALSE)</f>
        <v>3613</v>
      </c>
      <c r="R89" s="1016"/>
      <c r="S89" s="1044">
        <f>VLOOKUP($Q$61,D_Annexe!$B$4:$AO$53,MATCH("Activités immobilières",D_Annexe!$B$4:$AO$4,0),FALSE)/VLOOKUP($Q$61,D_Annexe!$B$4:$AO$53,MATCH("Postes des Ets actifs N-1",D_Annexe!$B$4:$AO$4,0),FALSE)</f>
        <v>9.5840628150034492E-3</v>
      </c>
      <c r="T89" s="1045"/>
    </row>
    <row r="90" spans="1:20">
      <c r="A90" s="566" t="s">
        <v>1038</v>
      </c>
      <c r="B90" s="506"/>
      <c r="C90" s="506"/>
      <c r="D90" s="506"/>
      <c r="E90" s="506"/>
      <c r="F90" s="506"/>
      <c r="G90" s="474"/>
      <c r="H90" s="397"/>
      <c r="I90" s="397"/>
      <c r="J90" s="567"/>
      <c r="K90" s="398"/>
      <c r="L90" s="1017">
        <f>VLOOKUP($K$61,D_Annexe!$B$4:$AO$53,MATCH("Act juri, compta, gest, arch, ingé",D_Annexe!$B$4:$AO$4,0),FALSE)</f>
        <v>960708</v>
      </c>
      <c r="M90" s="1016"/>
      <c r="N90" s="1044">
        <f>VLOOKUP($K$61,D_Annexe!$B$4:$AO$53,MATCH("Act juri, compta, gest, arch, ingé",D_Annexe!$B$4:$AO$4,0),FALSE)/VLOOKUP($K$61,D_Annexe!$B$4:$AO$53,MATCH("Postes des Ets actifs N-1",D_Annexe!$B$4:$AO$4,0),FALSE)</f>
        <v>4.3207453189879369E-2</v>
      </c>
      <c r="O90" s="1045"/>
      <c r="Q90" s="1017">
        <f>VLOOKUP($Q$61,D_Annexe!$B$4:$AO$53,MATCH("Act juri, compta, gest, arch, ingé",D_Annexe!$B$4:$AO$4,0),FALSE)</f>
        <v>20475</v>
      </c>
      <c r="R90" s="1016"/>
      <c r="S90" s="1044">
        <f>VLOOKUP($Q$61,D_Annexe!$B$4:$AO$53,MATCH("Act juri, compta, gest, arch, ingé",D_Annexe!$B$4:$AO$4,0),FALSE)/VLOOKUP($Q$61,D_Annexe!$B$4:$AO$53,MATCH("Postes des Ets actifs N-1",D_Annexe!$B$4:$AO$4,0),FALSE)</f>
        <v>5.4313226165844344E-2</v>
      </c>
      <c r="T90" s="1045"/>
    </row>
    <row r="91" spans="1:20">
      <c r="A91" s="566" t="s">
        <v>430</v>
      </c>
      <c r="B91" s="506"/>
      <c r="C91" s="506"/>
      <c r="D91" s="506"/>
      <c r="E91" s="506"/>
      <c r="F91" s="506"/>
      <c r="G91" s="474"/>
      <c r="H91" s="397"/>
      <c r="I91" s="397"/>
      <c r="J91" s="567"/>
      <c r="K91" s="398"/>
      <c r="L91" s="1017">
        <f>VLOOKUP($K$61,D_Annexe!$B$4:$AO$53,MATCH("Recherche-développement scientifique",D_Annexe!$B$4:$AO$4,0),FALSE)</f>
        <v>164756</v>
      </c>
      <c r="M91" s="1016"/>
      <c r="N91" s="1044">
        <f>VLOOKUP($K$61,D_Annexe!$B$4:$AO$53,MATCH("Recherche-développement scientifique",D_Annexe!$B$4:$AO$4,0),FALSE)/VLOOKUP($K$61,D_Annexe!$B$4:$AO$53,MATCH("Postes des Ets actifs N-1",D_Annexe!$B$4:$AO$4,0),FALSE)</f>
        <v>7.409834369810353E-3</v>
      </c>
      <c r="O91" s="1045"/>
      <c r="Q91" s="1017">
        <f>VLOOKUP($Q$61,D_Annexe!$B$4:$AO$53,MATCH("Recherche-développement scientifique",D_Annexe!$B$4:$AO$4,0),FALSE)</f>
        <v>2656</v>
      </c>
      <c r="R91" s="1016"/>
      <c r="S91" s="1044">
        <f>VLOOKUP($Q$61,D_Annexe!$B$4:$AO$53,MATCH("Recherche-développement scientifique",D_Annexe!$B$4:$AO$4,0),FALSE)/VLOOKUP($Q$61,D_Annexe!$B$4:$AO$53,MATCH("Postes des Ets actifs N-1",D_Annexe!$B$4:$AO$4,0),FALSE)</f>
        <v>7.045466603002812E-3</v>
      </c>
      <c r="T91" s="1045"/>
    </row>
    <row r="92" spans="1:20">
      <c r="A92" s="566" t="s">
        <v>1008</v>
      </c>
      <c r="B92" s="506"/>
      <c r="C92" s="506"/>
      <c r="D92" s="506"/>
      <c r="E92" s="506"/>
      <c r="F92" s="506"/>
      <c r="G92" s="474"/>
      <c r="H92" s="397"/>
      <c r="I92" s="397"/>
      <c r="J92" s="567"/>
      <c r="K92" s="398"/>
      <c r="L92" s="1017">
        <f>VLOOKUP($K$61,D_Annexe!$B$4:$AO$53,MATCH("Autres act spécial, scientif et tech",D_Annexe!$B$4:$AO$4,0),FALSE)</f>
        <v>185002</v>
      </c>
      <c r="M92" s="1016"/>
      <c r="N92" s="1044">
        <f>VLOOKUP($K$61,D_Annexe!$B$4:$AO$53,MATCH("Autres act spécial, scientif et tech",D_Annexe!$B$4:$AO$4,0),FALSE)/VLOOKUP($K$61,D_Annexe!$B$4:$AO$53,MATCH("Postes des Ets actifs N-1",D_Annexe!$B$4:$AO$4,0),FALSE)</f>
        <v>8.3203900196876287E-3</v>
      </c>
      <c r="O92" s="1045"/>
      <c r="Q92" s="1017">
        <f>VLOOKUP($Q$61,D_Annexe!$B$4:$AO$53,MATCH("Autres act spécial, scientif et tech",D_Annexe!$B$4:$AO$4,0),FALSE)</f>
        <v>3486</v>
      </c>
      <c r="R92" s="1016"/>
      <c r="S92" s="1044">
        <f>VLOOKUP($Q$61,D_Annexe!$B$4:$AO$53,MATCH("Autres act spécial, scientif et tech",D_Annexe!$B$4:$AO$4,0),FALSE)/VLOOKUP($Q$61,D_Annexe!$B$4:$AO$53,MATCH("Postes des Ets actifs N-1",D_Annexe!$B$4:$AO$4,0),FALSE)</f>
        <v>9.2471749164411907E-3</v>
      </c>
      <c r="T92" s="1045"/>
    </row>
    <row r="93" spans="1:20">
      <c r="A93" s="566" t="s">
        <v>1009</v>
      </c>
      <c r="B93" s="506"/>
      <c r="C93" s="506"/>
      <c r="D93" s="506"/>
      <c r="E93" s="506"/>
      <c r="F93" s="506"/>
      <c r="G93" s="474"/>
      <c r="H93" s="397"/>
      <c r="I93" s="397"/>
      <c r="J93" s="567"/>
      <c r="K93" s="398"/>
      <c r="L93" s="1017">
        <f>VLOOKUP($K$61,D_Annexe!$B$4:$AO$53,MATCH("Act de svices administratifs  soutien",D_Annexe!$B$4:$AO$4,0),FALSE)</f>
        <v>1186754</v>
      </c>
      <c r="M93" s="1016"/>
      <c r="N93" s="1044">
        <f>VLOOKUP($K$61,D_Annexe!$B$4:$AO$53,MATCH("Act de svices administratifs  soutien",D_Annexe!$B$4:$AO$4,0),FALSE)/VLOOKUP($K$61,D_Annexe!$B$4:$AO$53,MATCH("Postes des Ets actifs N-1",D_Annexe!$B$4:$AO$4,0),FALSE)</f>
        <v>5.3373780485748111E-2</v>
      </c>
      <c r="O93" s="1045"/>
      <c r="Q93" s="1017">
        <f>VLOOKUP($Q$61,D_Annexe!$B$4:$AO$53,MATCH("Act de svices administratifs  soutien",D_Annexe!$B$4:$AO$4,0),FALSE)</f>
        <v>22732</v>
      </c>
      <c r="R93" s="1016"/>
      <c r="S93" s="1044">
        <f>VLOOKUP($Q$61,D_Annexe!$B$4:$AO$53,MATCH("Act de svices administratifs  soutien",D_Annexe!$B$4:$AO$4,0),FALSE)/VLOOKUP($Q$61,D_Annexe!$B$4:$AO$53,MATCH("Postes des Ets actifs N-1",D_Annexe!$B$4:$AO$4,0),FALSE)</f>
        <v>6.0300281182025572E-2</v>
      </c>
      <c r="T93" s="1045"/>
    </row>
    <row r="94" spans="1:20">
      <c r="A94" s="566" t="s">
        <v>1184</v>
      </c>
      <c r="B94" s="506"/>
      <c r="C94" s="506"/>
      <c r="D94" s="506"/>
      <c r="E94" s="506"/>
      <c r="F94" s="506"/>
      <c r="G94" s="474"/>
      <c r="H94" s="397"/>
      <c r="I94" s="397"/>
      <c r="J94" s="567"/>
      <c r="K94" s="398"/>
      <c r="L94" s="1017">
        <f>VLOOKUP($K$61,D_Annexe!$B$4:$AO$53,MATCH("Support service public",D_Annexe!$B$4:$AO$4,0),FALSE)</f>
        <v>2242699</v>
      </c>
      <c r="M94" s="1016"/>
      <c r="N94" s="1044">
        <f>VLOOKUP($K$61,D_Annexe!$B$4:$AO$53,MATCH("Support service public",D_Annexe!$B$4:$AO$4,0),FALSE)/VLOOKUP($K$61,D_Annexe!$B$4:$AO$53,MATCH("Postes des Ets actifs N-1",D_Annexe!$B$4:$AO$4,0),FALSE)</f>
        <v>0.1008644791773247</v>
      </c>
      <c r="O94" s="1045"/>
      <c r="Q94" s="1017">
        <f>VLOOKUP($Q$61,D_Annexe!$B$4:$AO$53,MATCH("Support service public",D_Annexe!$B$4:$AO$4,0),FALSE)</f>
        <v>39821</v>
      </c>
      <c r="R94" s="1016"/>
      <c r="S94" s="1044">
        <f>VLOOKUP($Q$61,D_Annexe!$B$4:$AO$53,MATCH("Support service public",D_Annexe!$B$4:$AO$4,0),FALSE)/VLOOKUP($Q$61,D_Annexe!$B$4:$AO$53,MATCH("Postes des Ets actifs N-1",D_Annexe!$B$4:$AO$4,0),FALSE)</f>
        <v>0.10563159849328876</v>
      </c>
      <c r="T94" s="1045"/>
    </row>
    <row r="95" spans="1:20">
      <c r="A95" s="566" t="s">
        <v>433</v>
      </c>
      <c r="B95" s="506"/>
      <c r="C95" s="506"/>
      <c r="D95" s="506"/>
      <c r="E95" s="506"/>
      <c r="F95" s="506"/>
      <c r="G95" s="474"/>
      <c r="H95" s="397"/>
      <c r="I95" s="397"/>
      <c r="J95" s="567"/>
      <c r="K95" s="398"/>
      <c r="L95" s="1017">
        <f>VLOOKUP($K$61,D_Annexe!$B$4:$AO$53,MATCH("Enseignement",D_Annexe!$B$4:$AO$4,0),FALSE)</f>
        <v>1821175</v>
      </c>
      <c r="M95" s="1016"/>
      <c r="N95" s="1044">
        <f>VLOOKUP($K$61,D_Annexe!$B$4:$AO$53,MATCH("Enseignement",D_Annexe!$B$4:$AO$4,0),FALSE)/VLOOKUP($K$61,D_Annexe!$B$4:$AO$53,MATCH("Postes des Ets actifs N-1",D_Annexe!$B$4:$AO$4,0),FALSE)</f>
        <v>8.1906608004803289E-2</v>
      </c>
      <c r="O95" s="1045"/>
      <c r="Q95" s="1017">
        <f>VLOOKUP($Q$61,D_Annexe!$B$4:$AO$53,MATCH("Enseignement",D_Annexe!$B$4:$AO$4,0),FALSE)</f>
        <v>29708</v>
      </c>
      <c r="R95" s="1016"/>
      <c r="S95" s="1044">
        <f>VLOOKUP($Q$61,D_Annexe!$B$4:$AO$53,MATCH("Enseignement",D_Annexe!$B$4:$AO$4,0),FALSE)/VLOOKUP($Q$61,D_Annexe!$B$4:$AO$53,MATCH("Postes des Ets actifs N-1",D_Annexe!$B$4:$AO$4,0),FALSE)</f>
        <v>7.8805241657382355E-2</v>
      </c>
      <c r="T95" s="1045"/>
    </row>
    <row r="96" spans="1:20">
      <c r="A96" s="566" t="s">
        <v>434</v>
      </c>
      <c r="B96" s="506"/>
      <c r="C96" s="506"/>
      <c r="D96" s="506"/>
      <c r="E96" s="506"/>
      <c r="F96" s="506"/>
      <c r="G96" s="474"/>
      <c r="H96" s="397"/>
      <c r="I96" s="397"/>
      <c r="J96" s="567"/>
      <c r="K96" s="398"/>
      <c r="L96" s="1017">
        <f>VLOOKUP($K$61,D_Annexe!$B$4:$AO$53,MATCH("Activités pour la santé humaine",D_Annexe!$B$4:$AO$4,0),FALSE)</f>
        <v>1511321</v>
      </c>
      <c r="M96" s="1016"/>
      <c r="N96" s="1044">
        <f>VLOOKUP($K$61,D_Annexe!$B$4:$AO$53,MATCH("Activités pour la santé humaine",D_Annexe!$B$4:$AO$4,0),FALSE)/VLOOKUP($K$61,D_Annexe!$B$4:$AO$53,MATCH("Postes des Ets actifs N-1",D_Annexe!$B$4:$AO$4,0),FALSE)</f>
        <v>6.7971049853214172E-2</v>
      </c>
      <c r="O96" s="1045"/>
      <c r="Q96" s="1017">
        <f>VLOOKUP($Q$61,D_Annexe!$B$4:$AO$53,MATCH("Activités pour la santé humaine",D_Annexe!$B$4:$AO$4,0),FALSE)</f>
        <v>22673</v>
      </c>
      <c r="R96" s="1016"/>
      <c r="S96" s="1044">
        <f>VLOOKUP($Q$61,D_Annexe!$B$4:$AO$53,MATCH("Activités pour la santé humaine",D_Annexe!$B$4:$AO$4,0),FALSE)/VLOOKUP($Q$61,D_Annexe!$B$4:$AO$53,MATCH("Postes des Ets actifs N-1",D_Annexe!$B$4:$AO$4,0),FALSE)</f>
        <v>6.0143774205528147E-2</v>
      </c>
      <c r="T96" s="1045"/>
    </row>
    <row r="97" spans="1:20">
      <c r="A97" s="566" t="s">
        <v>1010</v>
      </c>
      <c r="B97" s="506"/>
      <c r="C97" s="506"/>
      <c r="D97" s="506"/>
      <c r="E97" s="506"/>
      <c r="F97" s="506"/>
      <c r="G97" s="474"/>
      <c r="H97" s="397"/>
      <c r="I97" s="397"/>
      <c r="J97" s="567"/>
      <c r="K97" s="398"/>
      <c r="L97" s="1017">
        <f>VLOOKUP($K$61,D_Annexe!$B$4:$AO$53,MATCH("Héb méd-soc ",D_Annexe!$B$4:$AO$4,0),FALSE)</f>
        <v>1575766</v>
      </c>
      <c r="M97" s="1016"/>
      <c r="N97" s="1044">
        <f>VLOOKUP($K$61,D_Annexe!$B$4:$AO$53,MATCH("Héb méd-soc ",D_Annexe!$B$4:$AO$4,0),FALSE)/VLOOKUP($K$61,D_Annexe!$B$4:$AO$53,MATCH("Postes des Ets actifs N-1",D_Annexe!$B$4:$AO$4,0),FALSE)</f>
        <v>7.086943762642077E-2</v>
      </c>
      <c r="O97" s="1045"/>
      <c r="Q97" s="1017">
        <f>VLOOKUP($Q$61,D_Annexe!$B$4:$AO$53,MATCH("Héb méd-soc ",D_Annexe!$B$4:$AO$4,0),FALSE)</f>
        <v>22593</v>
      </c>
      <c r="R97" s="1016"/>
      <c r="S97" s="1044">
        <f>VLOOKUP($Q$61,D_Annexe!$B$4:$AO$53,MATCH("Héb méd-soc ",D_Annexe!$B$4:$AO$4,0),FALSE)/VLOOKUP($Q$61,D_Annexe!$B$4:$AO$53,MATCH("Postes des Ets actifs N-1",D_Annexe!$B$4:$AO$4,0),FALSE)</f>
        <v>5.9931561356040108E-2</v>
      </c>
      <c r="T97" s="1045"/>
    </row>
    <row r="98" spans="1:20">
      <c r="A98" s="566" t="s">
        <v>1011</v>
      </c>
      <c r="B98" s="506"/>
      <c r="C98" s="506"/>
      <c r="D98" s="506"/>
      <c r="E98" s="506"/>
      <c r="F98" s="506"/>
      <c r="G98" s="474"/>
      <c r="H98" s="397"/>
      <c r="I98" s="397"/>
      <c r="J98" s="567"/>
      <c r="K98" s="398"/>
      <c r="L98" s="1017">
        <f>VLOOKUP($K$61,D_Annexe!$B$4:$AO$53,MATCH("Arts, spectacles ",D_Annexe!$B$4:$AO$4,0),FALSE)</f>
        <v>290878</v>
      </c>
      <c r="M98" s="1016"/>
      <c r="N98" s="1044">
        <f>VLOOKUP($K$61,D_Annexe!$B$4:$AO$53,MATCH("Arts, spectacles ",D_Annexe!$B$4:$AO$4,0),FALSE)/VLOOKUP($K$61,D_Annexe!$B$4:$AO$53,MATCH("Postes des Ets actifs N-1",D_Annexe!$B$4:$AO$4,0),FALSE)</f>
        <v>1.3082120237330937E-2</v>
      </c>
      <c r="O98" s="1045"/>
      <c r="Q98" s="1017">
        <f>VLOOKUP($Q$61,D_Annexe!$B$4:$AO$53,MATCH("Arts, spectacles ",D_Annexe!$B$4:$AO$4,0),FALSE)</f>
        <v>5135</v>
      </c>
      <c r="R98" s="1016"/>
      <c r="S98" s="1044">
        <f>VLOOKUP($Q$61,D_Annexe!$B$4:$AO$53,MATCH("Arts, spectacles ",D_Annexe!$B$4:$AO$4,0),FALSE)/VLOOKUP($Q$61,D_Annexe!$B$4:$AO$53,MATCH("Postes des Ets actifs N-1",D_Annexe!$B$4:$AO$4,0),FALSE)</f>
        <v>1.3621412276513343E-2</v>
      </c>
      <c r="T98" s="1045"/>
    </row>
    <row r="99" spans="1:20">
      <c r="A99" s="566" t="s">
        <v>1012</v>
      </c>
      <c r="B99" s="506"/>
      <c r="C99" s="506"/>
      <c r="D99" s="506"/>
      <c r="E99" s="506"/>
      <c r="F99" s="506"/>
      <c r="G99" s="474"/>
      <c r="H99" s="397"/>
      <c r="I99" s="397"/>
      <c r="J99" s="567"/>
      <c r="K99" s="398"/>
      <c r="L99" s="1017">
        <f>VLOOKUP($K$61,D_Annexe!$B$4:$AO$53,MATCH("Autres activités de services",D_Annexe!$B$4:$AO$4,0),FALSE)</f>
        <v>487101</v>
      </c>
      <c r="M99" s="1016"/>
      <c r="N99" s="1044">
        <f>VLOOKUP($K$61,D_Annexe!$B$4:$AO$53,MATCH("Autres activités de services",D_Annexe!$B$4:$AO$4,0),FALSE)/VLOOKUP($K$61,D_Annexe!$B$4:$AO$53,MATCH("Postes des Ets actifs N-1",D_Annexe!$B$4:$AO$4,0),FALSE)</f>
        <v>2.1907170187240484E-2</v>
      </c>
      <c r="O99" s="1045"/>
      <c r="Q99" s="1017">
        <f>VLOOKUP($Q$61,D_Annexe!$B$4:$AO$53,MATCH("Autres activités de services",D_Annexe!$B$4:$AO$4,0),FALSE)</f>
        <v>7877</v>
      </c>
      <c r="R99" s="1016"/>
      <c r="S99" s="1044">
        <f>VLOOKUP($Q$61,D_Annexe!$B$4:$AO$53,MATCH("Autres activités de services",D_Annexe!$B$4:$AO$4,0),FALSE)/VLOOKUP($Q$61,D_Annexe!$B$4:$AO$53,MATCH("Postes des Ets actifs N-1",D_Annexe!$B$4:$AO$4,0),FALSE)</f>
        <v>2.0895007692715795E-2</v>
      </c>
      <c r="T99" s="1045"/>
    </row>
    <row r="100" spans="1:20">
      <c r="A100" s="566" t="s">
        <v>1018</v>
      </c>
      <c r="B100" s="506"/>
      <c r="C100" s="506"/>
      <c r="D100" s="506"/>
      <c r="E100" s="506"/>
      <c r="F100" s="506"/>
      <c r="G100" s="474"/>
      <c r="H100" s="397"/>
      <c r="I100" s="397"/>
      <c r="J100" s="567"/>
      <c r="K100" s="398"/>
      <c r="L100" s="1017">
        <f>VLOOKUP($K$61,D_Annexe!$B$4:$AO$53,MATCH("Act ménages",D_Annexe!$B$4:$AO$4,0),FALSE)</f>
        <v>0</v>
      </c>
      <c r="M100" s="1016"/>
      <c r="N100" s="1044">
        <f>VLOOKUP($K$61,D_Annexe!$B$4:$AO$53,MATCH("Act ménages",D_Annexe!$B$4:$AO$4,0),FALSE)/VLOOKUP($K$61,D_Annexe!$B$4:$AO$53,MATCH("Postes des Ets actifs N-1",D_Annexe!$B$4:$AO$4,0),FALSE)</f>
        <v>0</v>
      </c>
      <c r="O100" s="1045"/>
      <c r="Q100" s="1017">
        <f>VLOOKUP($Q$61,D_Annexe!$B$4:$AO$53,MATCH("Act ménages",D_Annexe!$B$4:$AO$4,0),FALSE)</f>
        <v>0</v>
      </c>
      <c r="R100" s="1016"/>
      <c r="S100" s="1044">
        <f>VLOOKUP($Q$61,D_Annexe!$B$4:$AO$53,MATCH("Act ménages",D_Annexe!$B$4:$AO$4,0),FALSE)/VLOOKUP($Q$61,D_Annexe!$B$4:$AO$53,MATCH("Postes des Ets actifs N-1",D_Annexe!$B$4:$AO$4,0),FALSE)</f>
        <v>0</v>
      </c>
      <c r="T100" s="1045"/>
    </row>
    <row r="101" spans="1:20">
      <c r="A101" s="566" t="s">
        <v>435</v>
      </c>
      <c r="B101" s="506"/>
      <c r="C101" s="506"/>
      <c r="D101" s="506"/>
      <c r="E101" s="506"/>
      <c r="F101" s="506"/>
      <c r="G101" s="474"/>
      <c r="H101" s="397"/>
      <c r="I101" s="397"/>
      <c r="J101" s="567"/>
      <c r="K101" s="398"/>
      <c r="L101" s="1017">
        <f>VLOOKUP($K$61,D_Annexe!$B$4:$AO$53,MATCH("Activités extra-territoriales",D_Annexe!$B$4:$AO$4,0),FALSE)</f>
        <v>5420</v>
      </c>
      <c r="M101" s="1016"/>
      <c r="N101" s="1044">
        <f>VLOOKUP($K$61,D_Annexe!$B$4:$AO$53,MATCH("Activités extra-territoriales",D_Annexe!$B$4:$AO$4,0),FALSE)/VLOOKUP($K$61,D_Annexe!$B$4:$AO$53,MATCH("Postes des Ets actifs N-1",D_Annexe!$B$4:$AO$4,0),FALSE)</f>
        <v>2.4376230476809413E-4</v>
      </c>
      <c r="O101" s="1045"/>
      <c r="Q101" s="1017">
        <f>VLOOKUP($Q$61,D_Annexe!$B$4:$AO$53,MATCH("Activités extra-territoriales",D_Annexe!$B$4:$AO$4,0),FALSE)</f>
        <v>20</v>
      </c>
      <c r="R101" s="1016"/>
      <c r="S101" s="1044">
        <f>VLOOKUP($Q$61,D_Annexe!$B$4:$AO$53,MATCH("Activités extra-territoriales",D_Annexe!$B$4:$AO$4,0),FALSE)/VLOOKUP($Q$61,D_Annexe!$B$4:$AO$53,MATCH("Postes des Ets actifs N-1",D_Annexe!$B$4:$AO$4,0),FALSE)</f>
        <v>5.3053212372009127E-5</v>
      </c>
      <c r="T101" s="1045"/>
    </row>
    <row r="102" spans="1:20"/>
    <row r="103" spans="1:20"/>
    <row r="104" spans="1:20" hidden="1"/>
    <row r="105" spans="1:20" hidden="1"/>
    <row r="106" spans="1:20" hidden="1"/>
  </sheetData>
  <sheetProtection algorithmName="SHA-512" hashValue="M42YCuspTpGds6Lz1OZWwDApNwqdnEcSb+F5xeMq1+60KI5BU/af/2n9FIv5i1FRHB+MPWjIWGplFGmT8Mvjzw==" saltValue="EhPylepQmqwwjFZoKxJuYQ==" spinCount="100000" sheet="1" objects="1" autoFilter="0"/>
  <mergeCells count="164">
    <mergeCell ref="L67:M67"/>
    <mergeCell ref="N67:O67"/>
    <mergeCell ref="Q67:R67"/>
    <mergeCell ref="S67:T67"/>
    <mergeCell ref="L68:M68"/>
    <mergeCell ref="N68:O68"/>
    <mergeCell ref="Q68:R68"/>
    <mergeCell ref="S68:T68"/>
    <mergeCell ref="F1:T4"/>
    <mergeCell ref="A6:T7"/>
    <mergeCell ref="A33:T33"/>
    <mergeCell ref="N63:O63"/>
    <mergeCell ref="S63:T63"/>
    <mergeCell ref="L64:M64"/>
    <mergeCell ref="N64:O64"/>
    <mergeCell ref="Q64:R64"/>
    <mergeCell ref="S64:T64"/>
    <mergeCell ref="F53:T56"/>
    <mergeCell ref="A58:T59"/>
    <mergeCell ref="L63:M63"/>
    <mergeCell ref="Q63:R63"/>
    <mergeCell ref="K61:N61"/>
    <mergeCell ref="Q61:T61"/>
    <mergeCell ref="A61:C61"/>
    <mergeCell ref="L65:M65"/>
    <mergeCell ref="N65:O65"/>
    <mergeCell ref="Q65:R65"/>
    <mergeCell ref="S65:T65"/>
    <mergeCell ref="L71:M71"/>
    <mergeCell ref="N71:O71"/>
    <mergeCell ref="Q71:R71"/>
    <mergeCell ref="S71:T71"/>
    <mergeCell ref="L72:M72"/>
    <mergeCell ref="N72:O72"/>
    <mergeCell ref="L66:M66"/>
    <mergeCell ref="N66:O66"/>
    <mergeCell ref="Q66:R66"/>
    <mergeCell ref="S66:T66"/>
    <mergeCell ref="Q72:R72"/>
    <mergeCell ref="S72:T72"/>
    <mergeCell ref="L69:M69"/>
    <mergeCell ref="N69:O69"/>
    <mergeCell ref="Q69:R69"/>
    <mergeCell ref="S69:T69"/>
    <mergeCell ref="L70:M70"/>
    <mergeCell ref="N70:O70"/>
    <mergeCell ref="Q70:R70"/>
    <mergeCell ref="S70:T70"/>
    <mergeCell ref="L75:M75"/>
    <mergeCell ref="N75:O75"/>
    <mergeCell ref="Q75:R75"/>
    <mergeCell ref="S75:T75"/>
    <mergeCell ref="L73:M73"/>
    <mergeCell ref="N73:O73"/>
    <mergeCell ref="Q73:R73"/>
    <mergeCell ref="S73:T73"/>
    <mergeCell ref="L74:M74"/>
    <mergeCell ref="N74:O74"/>
    <mergeCell ref="Q74:R74"/>
    <mergeCell ref="S74:T74"/>
    <mergeCell ref="L79:M79"/>
    <mergeCell ref="N79:O79"/>
    <mergeCell ref="Q79:R79"/>
    <mergeCell ref="S79:T79"/>
    <mergeCell ref="Q76:R76"/>
    <mergeCell ref="S76:T76"/>
    <mergeCell ref="L77:M77"/>
    <mergeCell ref="N77:O77"/>
    <mergeCell ref="Q77:R77"/>
    <mergeCell ref="S77:T77"/>
    <mergeCell ref="L78:M78"/>
    <mergeCell ref="N78:O78"/>
    <mergeCell ref="Q78:R78"/>
    <mergeCell ref="S78:T78"/>
    <mergeCell ref="L76:M76"/>
    <mergeCell ref="N76:O76"/>
    <mergeCell ref="L82:M82"/>
    <mergeCell ref="N82:O82"/>
    <mergeCell ref="Q82:R82"/>
    <mergeCell ref="S82:T82"/>
    <mergeCell ref="L83:M83"/>
    <mergeCell ref="N83:O83"/>
    <mergeCell ref="Q83:R83"/>
    <mergeCell ref="S83:T83"/>
    <mergeCell ref="L80:M80"/>
    <mergeCell ref="N80:O80"/>
    <mergeCell ref="Q80:R80"/>
    <mergeCell ref="S80:T80"/>
    <mergeCell ref="L81:M81"/>
    <mergeCell ref="N81:O81"/>
    <mergeCell ref="Q81:R81"/>
    <mergeCell ref="S81:T81"/>
    <mergeCell ref="L86:M86"/>
    <mergeCell ref="N86:O86"/>
    <mergeCell ref="Q86:R86"/>
    <mergeCell ref="S86:T86"/>
    <mergeCell ref="L87:M87"/>
    <mergeCell ref="N87:O87"/>
    <mergeCell ref="Q87:R87"/>
    <mergeCell ref="S87:T87"/>
    <mergeCell ref="L84:M84"/>
    <mergeCell ref="N84:O84"/>
    <mergeCell ref="Q84:R84"/>
    <mergeCell ref="S84:T84"/>
    <mergeCell ref="L85:M85"/>
    <mergeCell ref="N85:O85"/>
    <mergeCell ref="Q85:R85"/>
    <mergeCell ref="S85:T85"/>
    <mergeCell ref="Q90:R90"/>
    <mergeCell ref="S90:T90"/>
    <mergeCell ref="L90:M90"/>
    <mergeCell ref="N90:O90"/>
    <mergeCell ref="L88:M88"/>
    <mergeCell ref="N88:O88"/>
    <mergeCell ref="Q88:R88"/>
    <mergeCell ref="S88:T88"/>
    <mergeCell ref="L89:M89"/>
    <mergeCell ref="N89:O89"/>
    <mergeCell ref="Q89:R89"/>
    <mergeCell ref="S89:T89"/>
    <mergeCell ref="L93:M93"/>
    <mergeCell ref="N93:O93"/>
    <mergeCell ref="Q93:R93"/>
    <mergeCell ref="S93:T93"/>
    <mergeCell ref="L94:M94"/>
    <mergeCell ref="N94:O94"/>
    <mergeCell ref="Q94:R94"/>
    <mergeCell ref="S94:T94"/>
    <mergeCell ref="L91:M91"/>
    <mergeCell ref="N91:O91"/>
    <mergeCell ref="Q91:R91"/>
    <mergeCell ref="S91:T91"/>
    <mergeCell ref="L92:M92"/>
    <mergeCell ref="N92:O92"/>
    <mergeCell ref="Q92:R92"/>
    <mergeCell ref="S92:T92"/>
    <mergeCell ref="L97:M97"/>
    <mergeCell ref="N97:O97"/>
    <mergeCell ref="Q97:R97"/>
    <mergeCell ref="S97:T97"/>
    <mergeCell ref="L98:M98"/>
    <mergeCell ref="N98:O98"/>
    <mergeCell ref="Q98:R98"/>
    <mergeCell ref="S98:T98"/>
    <mergeCell ref="L95:M95"/>
    <mergeCell ref="N95:O95"/>
    <mergeCell ref="Q95:R95"/>
    <mergeCell ref="S95:T95"/>
    <mergeCell ref="L96:M96"/>
    <mergeCell ref="N96:O96"/>
    <mergeCell ref="Q96:R96"/>
    <mergeCell ref="S96:T96"/>
    <mergeCell ref="L101:M101"/>
    <mergeCell ref="N101:O101"/>
    <mergeCell ref="Q101:R101"/>
    <mergeCell ref="S101:T101"/>
    <mergeCell ref="L99:M99"/>
    <mergeCell ref="N99:O99"/>
    <mergeCell ref="Q99:R99"/>
    <mergeCell ref="S99:T99"/>
    <mergeCell ref="L100:M100"/>
    <mergeCell ref="N100:O100"/>
    <mergeCell ref="Q100:R100"/>
    <mergeCell ref="S100:T100"/>
  </mergeCell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avril 2018</oddHeader>
    <oddFooter>&amp;C&amp;"-,Italique"&amp;8&amp;A&amp;R&amp;8Page &amp;P</oddFooter>
  </headerFooter>
  <rowBreaks count="1" manualBreakCount="1">
    <brk id="52" max="16383" man="1"/>
  </rowBreaks>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C00-000000000000}">
          <x14:formula1>
            <xm:f>D_Annexe!$B$5:$B$53</xm:f>
          </x14:formula1>
          <xm:sqref>Q61:T61</xm:sqref>
        </x14:dataValidation>
        <x14:dataValidation type="list" allowBlank="1" showInputMessage="1" showErrorMessage="1" xr:uid="{00000000-0002-0000-1C00-000001000000}">
          <x14:formula1>
            <xm:f>D_Annexe!$B$5:$B$53</xm:f>
          </x14:formula1>
          <xm:sqref>K61:N61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81"/>
  <sheetViews>
    <sheetView workbookViewId="0">
      <pane xSplit="2" ySplit="4" topLeftCell="C5" activePane="bottomRight" state="frozen"/>
      <selection activeCell="J38" sqref="J38"/>
      <selection pane="topRight" activeCell="J38" sqref="J38"/>
      <selection pane="bottomLeft" activeCell="J38" sqref="J38"/>
      <selection pane="bottomRight" activeCell="D35" sqref="D35"/>
    </sheetView>
  </sheetViews>
  <sheetFormatPr baseColWidth="10" defaultRowHeight="15"/>
  <cols>
    <col min="1" max="1" width="11.42578125" style="10"/>
    <col min="2" max="2" width="29.42578125" style="10" bestFit="1" customWidth="1"/>
    <col min="3" max="16384" width="11.42578125" style="10"/>
  </cols>
  <sheetData>
    <row r="2" spans="1:25" s="47" customFormat="1">
      <c r="A2" s="48" t="s">
        <v>1669</v>
      </c>
      <c r="B2" s="46"/>
    </row>
    <row r="3" spans="1:25">
      <c r="C3" s="792">
        <v>2014</v>
      </c>
      <c r="D3" s="792">
        <v>2009</v>
      </c>
      <c r="E3" s="792"/>
      <c r="F3" s="792"/>
      <c r="G3" s="10">
        <v>2010</v>
      </c>
      <c r="I3" s="10">
        <v>2014</v>
      </c>
      <c r="J3" s="10">
        <v>2013</v>
      </c>
      <c r="K3" s="792">
        <v>2014</v>
      </c>
      <c r="L3" s="792">
        <v>2014</v>
      </c>
      <c r="M3" s="792">
        <v>2014</v>
      </c>
      <c r="N3" s="792">
        <v>2014</v>
      </c>
      <c r="O3" s="792">
        <v>2014</v>
      </c>
      <c r="P3" s="792">
        <v>2014</v>
      </c>
      <c r="Q3" s="792">
        <v>2014</v>
      </c>
      <c r="R3" s="792">
        <v>2014</v>
      </c>
      <c r="S3" s="792">
        <v>2014</v>
      </c>
      <c r="T3" s="792">
        <v>2014</v>
      </c>
      <c r="U3" s="792">
        <v>2014</v>
      </c>
      <c r="V3" s="792">
        <v>2014</v>
      </c>
      <c r="W3" s="792">
        <v>2014</v>
      </c>
      <c r="X3" s="792">
        <v>2014</v>
      </c>
    </row>
    <row r="4" spans="1:25" s="11" customFormat="1" ht="45">
      <c r="A4" s="11" t="s">
        <v>52</v>
      </c>
      <c r="B4" s="11" t="s">
        <v>53</v>
      </c>
      <c r="C4" s="11" t="s">
        <v>50</v>
      </c>
      <c r="D4" s="11" t="s">
        <v>67</v>
      </c>
      <c r="E4" s="11" t="s">
        <v>591</v>
      </c>
      <c r="F4" s="11" t="s">
        <v>583</v>
      </c>
      <c r="G4" s="11" t="s">
        <v>68</v>
      </c>
      <c r="H4" s="11" t="s">
        <v>584</v>
      </c>
      <c r="I4" s="11" t="s">
        <v>968</v>
      </c>
      <c r="J4" s="11" t="s">
        <v>969</v>
      </c>
      <c r="K4" s="11" t="s">
        <v>82</v>
      </c>
      <c r="L4" s="11" t="s">
        <v>83</v>
      </c>
      <c r="M4" s="14" t="s">
        <v>76</v>
      </c>
      <c r="N4" s="14" t="s">
        <v>77</v>
      </c>
      <c r="O4" s="14" t="s">
        <v>78</v>
      </c>
      <c r="P4" s="14" t="s">
        <v>79</v>
      </c>
      <c r="Q4" s="14" t="s">
        <v>80</v>
      </c>
      <c r="R4" s="14" t="s">
        <v>81</v>
      </c>
      <c r="S4" s="14" t="s">
        <v>589</v>
      </c>
      <c r="T4" s="15" t="s">
        <v>84</v>
      </c>
      <c r="U4" s="15" t="s">
        <v>1324</v>
      </c>
      <c r="V4" s="15" t="s">
        <v>85</v>
      </c>
      <c r="W4" s="15" t="s">
        <v>86</v>
      </c>
      <c r="X4" s="15" t="s">
        <v>1325</v>
      </c>
      <c r="Y4" s="15"/>
    </row>
    <row r="5" spans="1:25">
      <c r="A5" s="10" t="s">
        <v>88</v>
      </c>
      <c r="B5" s="10" t="s">
        <v>89</v>
      </c>
      <c r="C5" s="617">
        <v>502068</v>
      </c>
      <c r="D5" s="617">
        <v>487632</v>
      </c>
      <c r="E5" s="10">
        <f>C5-D5</f>
        <v>14436</v>
      </c>
      <c r="F5" s="193">
        <f>+RATE((2013-2008),,-D5,C5)</f>
        <v>5.8519653736587634E-3</v>
      </c>
      <c r="G5" s="10">
        <v>2395.8199999999988</v>
      </c>
      <c r="H5" s="10">
        <f>C5/G5</f>
        <v>209.55998363816991</v>
      </c>
      <c r="I5" s="617">
        <v>18496</v>
      </c>
      <c r="J5" s="801">
        <v>18334</v>
      </c>
      <c r="K5" s="617">
        <v>225843.58678991796</v>
      </c>
      <c r="L5" s="617">
        <v>311489.22986506071</v>
      </c>
      <c r="M5" s="617">
        <v>4163.0238530709566</v>
      </c>
      <c r="N5" s="789">
        <v>18133.639335989803</v>
      </c>
      <c r="O5" s="617">
        <v>24835.869069209013</v>
      </c>
      <c r="P5" s="617">
        <v>48239.26005246034</v>
      </c>
      <c r="Q5" s="617">
        <v>53362.888936161624</v>
      </c>
      <c r="R5" s="789">
        <v>39248.98895690612</v>
      </c>
      <c r="S5" s="617">
        <v>188017.50116423957</v>
      </c>
      <c r="T5" s="617">
        <v>371964.69587342598</v>
      </c>
      <c r="U5" s="617">
        <v>125147.21601418717</v>
      </c>
      <c r="V5" s="617">
        <v>89670.064072927067</v>
      </c>
      <c r="W5" s="617">
        <v>62321.692075669969</v>
      </c>
      <c r="X5" s="617">
        <v>94825.723710641832</v>
      </c>
    </row>
    <row r="6" spans="1:25" s="719" customFormat="1">
      <c r="A6" s="719" t="s">
        <v>5</v>
      </c>
      <c r="B6" s="719" t="s">
        <v>6</v>
      </c>
      <c r="C6" s="719">
        <v>1271647</v>
      </c>
      <c r="D6" s="719">
        <v>1191193</v>
      </c>
      <c r="E6" s="719">
        <f t="shared" ref="E6:E39" si="0">C6-D6</f>
        <v>80454</v>
      </c>
      <c r="F6" s="720">
        <f t="shared" ref="F6:F39" si="1">+RATE((2013-2008),,-D6,C6)</f>
        <v>1.3157322687796855E-2</v>
      </c>
      <c r="G6" s="719">
        <v>6647.8199999999952</v>
      </c>
      <c r="H6" s="719">
        <f>C6/G6</f>
        <v>191.2878206690315</v>
      </c>
      <c r="I6" s="719">
        <v>21370</v>
      </c>
      <c r="J6" s="791">
        <v>21162</v>
      </c>
      <c r="K6" s="791">
        <v>615990.50977640646</v>
      </c>
      <c r="L6" s="719">
        <v>839632.85133606009</v>
      </c>
      <c r="M6" s="719">
        <v>4918.129038463193</v>
      </c>
      <c r="N6" s="719">
        <v>36906.518128258773</v>
      </c>
      <c r="O6" s="719">
        <v>102099.60492950429</v>
      </c>
      <c r="P6" s="719">
        <v>147657.50420846618</v>
      </c>
      <c r="Q6" s="719">
        <v>147696.22706665818</v>
      </c>
      <c r="R6" s="719">
        <v>95527.127385004773</v>
      </c>
      <c r="S6" s="719">
        <v>535164.04819335917</v>
      </c>
      <c r="T6" s="719">
        <v>910564.92883397103</v>
      </c>
      <c r="U6" s="719">
        <v>238209.43551039632</v>
      </c>
      <c r="V6" s="719">
        <v>220998.89343939818</v>
      </c>
      <c r="W6" s="719">
        <v>158827.61602773017</v>
      </c>
      <c r="X6" s="719">
        <v>292528.98385644658</v>
      </c>
    </row>
    <row r="7" spans="1:25">
      <c r="A7" s="12" t="s">
        <v>87</v>
      </c>
      <c r="B7" s="10" t="s">
        <v>1076</v>
      </c>
      <c r="C7" s="617">
        <v>362920</v>
      </c>
      <c r="D7" s="617">
        <v>364550</v>
      </c>
      <c r="E7" s="10">
        <f t="shared" si="0"/>
        <v>-1630</v>
      </c>
      <c r="F7" s="193">
        <f t="shared" si="1"/>
        <v>-8.9585687061515332E-4</v>
      </c>
      <c r="G7" s="10">
        <v>318.11999999999995</v>
      </c>
      <c r="H7" s="10">
        <f t="shared" ref="H7:H37" si="2">C7/G7</f>
        <v>1140.8273607443734</v>
      </c>
      <c r="I7" s="617">
        <v>15520</v>
      </c>
      <c r="J7" s="801">
        <v>15344</v>
      </c>
      <c r="K7" s="789">
        <v>153709.73283191453</v>
      </c>
      <c r="L7" s="789">
        <v>230102.8662427919</v>
      </c>
      <c r="M7" s="789">
        <v>189.00486982651702</v>
      </c>
      <c r="N7" s="617">
        <v>5029.0038269750585</v>
      </c>
      <c r="O7" s="617">
        <v>9512.6317149650404</v>
      </c>
      <c r="P7" s="789">
        <v>29630.825233596795</v>
      </c>
      <c r="Q7" s="789">
        <v>39515.163791506762</v>
      </c>
      <c r="R7" s="789">
        <v>36983.560882540805</v>
      </c>
      <c r="S7" s="789">
        <v>120634.53926766256</v>
      </c>
      <c r="T7" s="617">
        <v>260366.78142786407</v>
      </c>
      <c r="U7" s="617">
        <v>106271.14399756286</v>
      </c>
      <c r="V7" s="617">
        <v>71632.091747185856</v>
      </c>
      <c r="W7" s="617">
        <v>42083.90415136412</v>
      </c>
      <c r="X7" s="617">
        <v>40379.641531751244</v>
      </c>
    </row>
    <row r="8" spans="1:25">
      <c r="A8" s="10" t="s">
        <v>7</v>
      </c>
      <c r="B8" s="10" t="s">
        <v>8</v>
      </c>
      <c r="C8" s="617">
        <v>813732</v>
      </c>
      <c r="D8" s="617">
        <v>790715</v>
      </c>
      <c r="E8" s="10">
        <f t="shared" si="0"/>
        <v>23017</v>
      </c>
      <c r="F8" s="193">
        <f t="shared" si="1"/>
        <v>5.7551926592739567E-3</v>
      </c>
      <c r="G8" s="10">
        <v>5637.8500000000013</v>
      </c>
      <c r="H8" s="10">
        <f t="shared" si="2"/>
        <v>144.3337442464769</v>
      </c>
      <c r="I8" s="617">
        <v>21796</v>
      </c>
      <c r="J8" s="801">
        <v>21566</v>
      </c>
      <c r="K8" s="789">
        <v>386115.61819673626</v>
      </c>
      <c r="L8" s="789">
        <v>521989.87278019631</v>
      </c>
      <c r="M8" s="789">
        <v>2809.9850747149158</v>
      </c>
      <c r="N8" s="789">
        <v>21451.83309251253</v>
      </c>
      <c r="O8" s="789">
        <v>77076.787621752184</v>
      </c>
      <c r="P8" s="789">
        <v>95131.290974658172</v>
      </c>
      <c r="Q8" s="789">
        <v>86764.16144701741</v>
      </c>
      <c r="R8" s="789">
        <v>59290.510272783795</v>
      </c>
      <c r="S8" s="789">
        <v>341797.89839160838</v>
      </c>
      <c r="T8" s="617">
        <v>573944.56230723008</v>
      </c>
      <c r="U8" s="617">
        <v>154642.74980349609</v>
      </c>
      <c r="V8" s="617">
        <v>123417.03559004315</v>
      </c>
      <c r="W8" s="617">
        <v>92854.249452509001</v>
      </c>
      <c r="X8" s="617">
        <v>203030.52746118244</v>
      </c>
    </row>
    <row r="9" spans="1:25">
      <c r="A9" s="10" t="s">
        <v>9</v>
      </c>
      <c r="B9" s="10" t="s">
        <v>10</v>
      </c>
      <c r="C9" s="617">
        <v>805074</v>
      </c>
      <c r="D9" s="617">
        <v>784327</v>
      </c>
      <c r="E9" s="10">
        <f t="shared" si="0"/>
        <v>20747</v>
      </c>
      <c r="F9" s="193">
        <f t="shared" si="1"/>
        <v>5.2352911799908655E-3</v>
      </c>
      <c r="G9" s="10">
        <v>660.95</v>
      </c>
      <c r="H9" s="10">
        <f t="shared" si="2"/>
        <v>1218.0558287313713</v>
      </c>
      <c r="I9" s="617">
        <v>20614</v>
      </c>
      <c r="J9" s="801">
        <v>20390</v>
      </c>
      <c r="K9" s="789">
        <v>384510.64103333128</v>
      </c>
      <c r="L9" s="789">
        <v>545053.39615054906</v>
      </c>
      <c r="M9" s="789">
        <v>786.48053771245077</v>
      </c>
      <c r="N9" s="789">
        <v>14875.599297088063</v>
      </c>
      <c r="O9" s="789">
        <v>83733.353846063168</v>
      </c>
      <c r="P9" s="789">
        <v>93668.210322069077</v>
      </c>
      <c r="Q9" s="789">
        <v>85627.034963435013</v>
      </c>
      <c r="R9" s="789">
        <v>47803.706560945502</v>
      </c>
      <c r="S9" s="789">
        <v>326284.3964580567</v>
      </c>
      <c r="T9" s="617">
        <v>541629.48518003488</v>
      </c>
      <c r="U9" s="617">
        <v>155865.53496611351</v>
      </c>
      <c r="V9" s="617">
        <v>100835.13134113743</v>
      </c>
      <c r="W9" s="617">
        <v>84531.094236481586</v>
      </c>
      <c r="X9" s="617">
        <v>200397.72463630236</v>
      </c>
    </row>
    <row r="10" spans="1:25">
      <c r="A10" s="10" t="s">
        <v>11</v>
      </c>
      <c r="B10" s="10" t="s">
        <v>12</v>
      </c>
      <c r="C10" s="617">
        <v>1799726</v>
      </c>
      <c r="D10" s="617">
        <v>1708345</v>
      </c>
      <c r="E10" s="10">
        <f t="shared" si="0"/>
        <v>91381</v>
      </c>
      <c r="F10" s="193">
        <f t="shared" si="1"/>
        <v>1.0476369973056593E-2</v>
      </c>
      <c r="G10" s="10">
        <v>3098.1</v>
      </c>
      <c r="H10" s="10">
        <f t="shared" si="2"/>
        <v>580.91281753332692</v>
      </c>
      <c r="I10" s="617">
        <v>21678</v>
      </c>
      <c r="J10" s="801">
        <v>21456</v>
      </c>
      <c r="K10" s="789">
        <v>866614.69360817072</v>
      </c>
      <c r="L10" s="789">
        <v>1171491.7290529357</v>
      </c>
      <c r="M10" s="789">
        <v>3808.9454476751575</v>
      </c>
      <c r="N10" s="789">
        <v>44427.17187557814</v>
      </c>
      <c r="O10" s="789">
        <v>174933.78366026716</v>
      </c>
      <c r="P10" s="789">
        <v>214096.68322071247</v>
      </c>
      <c r="Q10" s="789">
        <v>193623.16727281894</v>
      </c>
      <c r="R10" s="789">
        <v>125460.71204482703</v>
      </c>
      <c r="S10" s="789">
        <v>755717.59990203741</v>
      </c>
      <c r="T10" s="617">
        <v>1241923.0220205789</v>
      </c>
      <c r="U10" s="617">
        <v>347815.40637822985</v>
      </c>
      <c r="V10" s="617">
        <v>248538.47419347416</v>
      </c>
      <c r="W10" s="617">
        <v>202189.23102513616</v>
      </c>
      <c r="X10" s="617">
        <v>443379.91042373882</v>
      </c>
    </row>
    <row r="11" spans="1:25">
      <c r="A11" s="10" t="s">
        <v>13</v>
      </c>
      <c r="B11" s="10" t="s">
        <v>54</v>
      </c>
      <c r="C11" s="617">
        <v>1316173</v>
      </c>
      <c r="D11" s="617">
        <v>1298686</v>
      </c>
      <c r="E11" s="10">
        <f t="shared" si="0"/>
        <v>17487</v>
      </c>
      <c r="F11" s="193">
        <f t="shared" si="1"/>
        <v>2.6786409980591223E-3</v>
      </c>
      <c r="G11" s="10">
        <v>1537.67</v>
      </c>
      <c r="H11" s="10">
        <f t="shared" si="2"/>
        <v>855.95283773501467</v>
      </c>
      <c r="I11" s="617">
        <v>19628</v>
      </c>
      <c r="J11" s="801">
        <v>19432</v>
      </c>
      <c r="K11" s="789">
        <v>569934.56707360887</v>
      </c>
      <c r="L11" s="789">
        <v>826771.36304343282</v>
      </c>
      <c r="M11" s="789">
        <v>831.3391551264765</v>
      </c>
      <c r="N11" s="789">
        <v>31781.901552143911</v>
      </c>
      <c r="O11" s="789">
        <v>92018.134700023118</v>
      </c>
      <c r="P11" s="789">
        <v>134012.20253974019</v>
      </c>
      <c r="Q11" s="789">
        <v>143273.00252682276</v>
      </c>
      <c r="R11" s="789">
        <v>74442.221454792569</v>
      </c>
      <c r="S11" s="789">
        <v>476451.14152404189</v>
      </c>
      <c r="T11" s="617">
        <v>951276.75216077711</v>
      </c>
      <c r="U11" s="617">
        <v>316864.62695890374</v>
      </c>
      <c r="V11" s="617">
        <v>196279.10236490492</v>
      </c>
      <c r="W11" s="617">
        <v>160074.92929877216</v>
      </c>
      <c r="X11" s="617">
        <v>278058.09353819618</v>
      </c>
    </row>
    <row r="12" spans="1:25">
      <c r="A12" s="10" t="s">
        <v>14</v>
      </c>
      <c r="B12" s="10" t="s">
        <v>15</v>
      </c>
      <c r="C12" s="617">
        <v>664066</v>
      </c>
      <c r="D12" s="617">
        <v>615819</v>
      </c>
      <c r="E12" s="10">
        <f t="shared" si="0"/>
        <v>48247</v>
      </c>
      <c r="F12" s="193">
        <f t="shared" si="1"/>
        <v>1.5200053978007772E-2</v>
      </c>
      <c r="G12" s="10">
        <v>2006.7799999999993</v>
      </c>
      <c r="H12" s="10">
        <f t="shared" si="2"/>
        <v>330.91121099472798</v>
      </c>
      <c r="I12" s="617">
        <v>20226</v>
      </c>
      <c r="J12" s="801">
        <v>20046</v>
      </c>
      <c r="K12" s="789">
        <v>308345.0495093725</v>
      </c>
      <c r="L12" s="789">
        <v>440590.25430744846</v>
      </c>
      <c r="M12" s="789">
        <v>1706.0728856644059</v>
      </c>
      <c r="N12" s="789">
        <v>19845.208633045466</v>
      </c>
      <c r="O12" s="789">
        <v>56608.434251972736</v>
      </c>
      <c r="P12" s="789">
        <v>74922.45984798127</v>
      </c>
      <c r="Q12" s="789">
        <v>69253.447803580915</v>
      </c>
      <c r="R12" s="789">
        <v>35173.921256041838</v>
      </c>
      <c r="S12" s="789">
        <v>257471.32625143614</v>
      </c>
      <c r="T12" s="617">
        <v>461917.1731941399</v>
      </c>
      <c r="U12" s="617">
        <v>121971.87424920732</v>
      </c>
      <c r="V12" s="617">
        <v>84844.106507287928</v>
      </c>
      <c r="W12" s="617">
        <v>83321.869568934693</v>
      </c>
      <c r="X12" s="617">
        <v>171779.32286870995</v>
      </c>
    </row>
    <row r="13" spans="1:25">
      <c r="A13" s="10" t="s">
        <v>16</v>
      </c>
      <c r="B13" s="10" t="s">
        <v>17</v>
      </c>
      <c r="C13" s="617">
        <v>1061271</v>
      </c>
      <c r="D13" s="617">
        <v>992089</v>
      </c>
      <c r="E13" s="10">
        <f t="shared" si="0"/>
        <v>69182</v>
      </c>
      <c r="F13" s="193">
        <f t="shared" si="1"/>
        <v>1.3573232046981524E-2</v>
      </c>
      <c r="G13" s="10">
        <v>4900.2199999999984</v>
      </c>
      <c r="H13" s="10">
        <f t="shared" si="2"/>
        <v>216.57619453820448</v>
      </c>
      <c r="I13" s="617">
        <v>21300</v>
      </c>
      <c r="J13" s="801">
        <v>21034</v>
      </c>
      <c r="K13" s="789">
        <v>520753.31702383875</v>
      </c>
      <c r="L13" s="789">
        <v>689434.60263597383</v>
      </c>
      <c r="M13" s="789">
        <v>5830.9734910401467</v>
      </c>
      <c r="N13" s="789">
        <v>25436.825753309357</v>
      </c>
      <c r="O13" s="789">
        <v>90080.944626495577</v>
      </c>
      <c r="P13" s="789">
        <v>130607.50604517954</v>
      </c>
      <c r="Q13" s="789">
        <v>118678.8417142649</v>
      </c>
      <c r="R13" s="789">
        <v>91799.907997906179</v>
      </c>
      <c r="S13" s="789">
        <v>462443.37802047981</v>
      </c>
      <c r="T13" s="617">
        <v>740955.12142760085</v>
      </c>
      <c r="U13" s="617">
        <v>174211.4785047567</v>
      </c>
      <c r="V13" s="617">
        <v>191451.81134664832</v>
      </c>
      <c r="W13" s="617">
        <v>130144.46315067433</v>
      </c>
      <c r="X13" s="617">
        <v>245147.36842552069</v>
      </c>
    </row>
    <row r="14" spans="1:25">
      <c r="A14" s="10" t="s">
        <v>18</v>
      </c>
      <c r="B14" s="10" t="s">
        <v>19</v>
      </c>
      <c r="C14" s="617">
        <v>620547</v>
      </c>
      <c r="D14" s="617">
        <v>617127</v>
      </c>
      <c r="E14" s="10">
        <f t="shared" si="0"/>
        <v>3420</v>
      </c>
      <c r="F14" s="193">
        <f t="shared" si="1"/>
        <v>1.1059130182108541E-3</v>
      </c>
      <c r="G14" s="10">
        <v>3430.2800000000011</v>
      </c>
      <c r="H14" s="10">
        <f t="shared" si="2"/>
        <v>180.90272514197085</v>
      </c>
      <c r="I14" s="617">
        <v>20750</v>
      </c>
      <c r="J14" s="801">
        <v>20488</v>
      </c>
      <c r="K14" s="789">
        <v>278561.27976447513</v>
      </c>
      <c r="L14" s="789">
        <v>381324.74495438777</v>
      </c>
      <c r="M14" s="789">
        <v>946.73174605468466</v>
      </c>
      <c r="N14" s="789">
        <v>22254.068913854269</v>
      </c>
      <c r="O14" s="789">
        <v>42702.764072584338</v>
      </c>
      <c r="P14" s="789">
        <v>62738.921325097428</v>
      </c>
      <c r="Q14" s="789">
        <v>75086.962093595721</v>
      </c>
      <c r="R14" s="789">
        <v>37493.019180164702</v>
      </c>
      <c r="S14" s="789">
        <v>241149.62499310411</v>
      </c>
      <c r="T14" s="617">
        <v>466810.36840376304</v>
      </c>
      <c r="U14" s="617">
        <v>146018.86883828568</v>
      </c>
      <c r="V14" s="617">
        <v>95862.202565583444</v>
      </c>
      <c r="W14" s="617">
        <v>83903.588395809144</v>
      </c>
      <c r="X14" s="617">
        <v>141025.70860408482</v>
      </c>
    </row>
    <row r="15" spans="1:25">
      <c r="A15" s="10" t="s">
        <v>20</v>
      </c>
      <c r="B15" s="10" t="s">
        <v>21</v>
      </c>
      <c r="C15" s="617">
        <v>801759</v>
      </c>
      <c r="D15" s="617">
        <v>751527</v>
      </c>
      <c r="E15" s="10">
        <f t="shared" si="0"/>
        <v>50232</v>
      </c>
      <c r="F15" s="193">
        <f t="shared" si="1"/>
        <v>1.3024271959303972E-2</v>
      </c>
      <c r="G15" s="10">
        <v>5476.4299999999976</v>
      </c>
      <c r="H15" s="10">
        <f t="shared" si="2"/>
        <v>146.40176173163911</v>
      </c>
      <c r="I15" s="617">
        <v>21008</v>
      </c>
      <c r="J15" s="801">
        <v>20798</v>
      </c>
      <c r="K15" s="789">
        <v>386841.53586272884</v>
      </c>
      <c r="L15" s="789">
        <v>525243.36719369038</v>
      </c>
      <c r="M15" s="789">
        <v>7532.7723367602593</v>
      </c>
      <c r="N15" s="789">
        <v>17430.17364427897</v>
      </c>
      <c r="O15" s="789">
        <v>67095.301567109971</v>
      </c>
      <c r="P15" s="789">
        <v>92774.227428208804</v>
      </c>
      <c r="Q15" s="789">
        <v>90075.69901627826</v>
      </c>
      <c r="R15" s="789">
        <v>70939.142341844738</v>
      </c>
      <c r="S15" s="789">
        <v>346115.04217821255</v>
      </c>
      <c r="T15" s="617">
        <v>545070.06103705463</v>
      </c>
      <c r="U15" s="617">
        <v>139849.31614244657</v>
      </c>
      <c r="V15" s="617">
        <v>129330.87231967134</v>
      </c>
      <c r="W15" s="617">
        <v>95612.919755260358</v>
      </c>
      <c r="X15" s="617">
        <v>180276.95281967614</v>
      </c>
    </row>
    <row r="16" spans="1:25">
      <c r="A16" s="10" t="s">
        <v>22</v>
      </c>
      <c r="B16" s="10" t="s">
        <v>23</v>
      </c>
      <c r="C16" s="617">
        <v>834093</v>
      </c>
      <c r="D16" s="617">
        <v>819550</v>
      </c>
      <c r="E16" s="10">
        <f t="shared" si="0"/>
        <v>14543</v>
      </c>
      <c r="F16" s="193">
        <f t="shared" si="1"/>
        <v>3.5240946306470755E-3</v>
      </c>
      <c r="G16" s="10">
        <v>4303.5600000000049</v>
      </c>
      <c r="H16" s="10">
        <f t="shared" si="2"/>
        <v>193.8146557733595</v>
      </c>
      <c r="I16" s="617">
        <v>20275</v>
      </c>
      <c r="J16" s="801">
        <v>20068</v>
      </c>
      <c r="K16" s="789">
        <v>390443.84695109603</v>
      </c>
      <c r="L16" s="789">
        <v>535087.238805742</v>
      </c>
      <c r="M16" s="789">
        <v>3032.4546919941195</v>
      </c>
      <c r="N16" s="789">
        <v>17192.677291704254</v>
      </c>
      <c r="O16" s="789">
        <v>49304.207511625696</v>
      </c>
      <c r="P16" s="789">
        <v>91438.504545864722</v>
      </c>
      <c r="Q16" s="789">
        <v>94521.558466056595</v>
      </c>
      <c r="R16" s="789">
        <v>78649.941508696094</v>
      </c>
      <c r="S16" s="789">
        <v>334012.55390714941</v>
      </c>
      <c r="T16" s="617">
        <v>597281.86620283942</v>
      </c>
      <c r="U16" s="617">
        <v>200796.10135841338</v>
      </c>
      <c r="V16" s="617">
        <v>156587.23105583631</v>
      </c>
      <c r="W16" s="617">
        <v>94811.350560346065</v>
      </c>
      <c r="X16" s="617">
        <v>145087.18322824329</v>
      </c>
    </row>
    <row r="17" spans="1:24">
      <c r="A17" s="10" t="s">
        <v>24</v>
      </c>
      <c r="B17" s="10" t="s">
        <v>25</v>
      </c>
      <c r="C17" s="617">
        <v>582412</v>
      </c>
      <c r="D17" s="617">
        <v>570221</v>
      </c>
      <c r="E17" s="10">
        <f t="shared" si="0"/>
        <v>12191</v>
      </c>
      <c r="F17" s="193">
        <f t="shared" si="1"/>
        <v>4.2397817673430829E-3</v>
      </c>
      <c r="G17" s="10">
        <v>850.79999999999984</v>
      </c>
      <c r="H17" s="10">
        <f t="shared" si="2"/>
        <v>684.54630935590046</v>
      </c>
      <c r="I17" s="617">
        <v>20890</v>
      </c>
      <c r="J17" s="801">
        <v>20792</v>
      </c>
      <c r="K17" s="789">
        <v>280160.80725450837</v>
      </c>
      <c r="L17" s="789">
        <v>390558.09004130622</v>
      </c>
      <c r="M17" s="789">
        <v>842.69859656137749</v>
      </c>
      <c r="N17" s="789">
        <v>11681.995791206082</v>
      </c>
      <c r="O17" s="789">
        <v>53092.64811855142</v>
      </c>
      <c r="P17" s="789">
        <v>66537.24039164916</v>
      </c>
      <c r="Q17" s="789">
        <v>63089.821505751752</v>
      </c>
      <c r="R17" s="789">
        <v>44791.269600162217</v>
      </c>
      <c r="S17" s="789">
        <v>239427.04797657664</v>
      </c>
      <c r="T17" s="617">
        <v>405828.86331304128</v>
      </c>
      <c r="U17" s="617">
        <v>104717.36488063242</v>
      </c>
      <c r="V17" s="617">
        <v>100376.76182790905</v>
      </c>
      <c r="W17" s="617">
        <v>63547.526363874116</v>
      </c>
      <c r="X17" s="617">
        <v>137187.21024062569</v>
      </c>
    </row>
    <row r="18" spans="1:24">
      <c r="A18" s="10" t="s">
        <v>51</v>
      </c>
      <c r="B18" s="10" t="s">
        <v>55</v>
      </c>
      <c r="C18" s="617">
        <v>614384</v>
      </c>
      <c r="D18" s="617">
        <v>605716</v>
      </c>
      <c r="E18" s="10">
        <f t="shared" si="0"/>
        <v>8668</v>
      </c>
      <c r="F18" s="193">
        <f t="shared" si="1"/>
        <v>2.8458237848322035E-3</v>
      </c>
      <c r="G18" s="10">
        <v>1794.4399999999991</v>
      </c>
      <c r="H18" s="10">
        <f t="shared" si="2"/>
        <v>342.38202447560258</v>
      </c>
      <c r="I18" s="617">
        <v>20328</v>
      </c>
      <c r="J18" s="801">
        <v>20084</v>
      </c>
      <c r="K18" s="789">
        <v>261474.21069794954</v>
      </c>
      <c r="L18" s="789">
        <v>370115.01725006563</v>
      </c>
      <c r="M18" s="789">
        <v>1552.9410334955489</v>
      </c>
      <c r="N18" s="789">
        <v>19209.56234624116</v>
      </c>
      <c r="O18" s="789">
        <v>30700.7714563757</v>
      </c>
      <c r="P18" s="789">
        <v>59926.16077472263</v>
      </c>
      <c r="Q18" s="789">
        <v>74440.697410302077</v>
      </c>
      <c r="R18" s="789">
        <v>35738.500585728696</v>
      </c>
      <c r="S18" s="789">
        <v>221893.11404438512</v>
      </c>
      <c r="T18" s="617">
        <v>471898.12603224901</v>
      </c>
      <c r="U18" s="617">
        <v>148280.17938907864</v>
      </c>
      <c r="V18" s="617">
        <v>111551.50635159003</v>
      </c>
      <c r="W18" s="617">
        <v>90884.442386077833</v>
      </c>
      <c r="X18" s="617">
        <v>121181.99790550262</v>
      </c>
    </row>
    <row r="19" spans="1:24">
      <c r="A19" s="10" t="s">
        <v>26</v>
      </c>
      <c r="B19" s="10" t="s">
        <v>27</v>
      </c>
      <c r="C19" s="617">
        <v>1450345</v>
      </c>
      <c r="D19" s="617">
        <v>1352215</v>
      </c>
      <c r="E19" s="10">
        <f t="shared" si="0"/>
        <v>98130</v>
      </c>
      <c r="F19" s="193">
        <f t="shared" si="1"/>
        <v>1.4110115158508262E-2</v>
      </c>
      <c r="G19" s="10">
        <v>8752.0099999999984</v>
      </c>
      <c r="H19" s="10">
        <f t="shared" si="2"/>
        <v>165.71564703422416</v>
      </c>
      <c r="I19" s="617">
        <v>21858</v>
      </c>
      <c r="J19" s="801">
        <v>21668</v>
      </c>
      <c r="K19" s="789">
        <v>723023.84830584959</v>
      </c>
      <c r="L19" s="789">
        <v>963000.09226776741</v>
      </c>
      <c r="M19" s="789">
        <v>6665.0195113748387</v>
      </c>
      <c r="N19" s="789">
        <v>38885.727720827337</v>
      </c>
      <c r="O19" s="789">
        <v>154453.35344869978</v>
      </c>
      <c r="P19" s="789">
        <v>177885.38396266039</v>
      </c>
      <c r="Q19" s="789">
        <v>156382.73285980296</v>
      </c>
      <c r="R19" s="789">
        <v>93884.677205101179</v>
      </c>
      <c r="S19" s="789">
        <v>628361.59548552672</v>
      </c>
      <c r="T19" s="617">
        <v>1022904.3752106128</v>
      </c>
      <c r="U19" s="617">
        <v>245356.86655850909</v>
      </c>
      <c r="V19" s="617">
        <v>208374.35382821356</v>
      </c>
      <c r="W19" s="617">
        <v>179685.15558296459</v>
      </c>
      <c r="X19" s="617">
        <v>389487.99924092548</v>
      </c>
    </row>
    <row r="20" spans="1:24">
      <c r="A20" s="10" t="s">
        <v>28</v>
      </c>
      <c r="B20" s="10" t="s">
        <v>29</v>
      </c>
      <c r="C20" s="617">
        <v>2265375</v>
      </c>
      <c r="D20" s="617">
        <v>2142732</v>
      </c>
      <c r="E20" s="10">
        <f t="shared" si="0"/>
        <v>122643</v>
      </c>
      <c r="F20" s="193">
        <f t="shared" si="1"/>
        <v>1.1193919824571607E-2</v>
      </c>
      <c r="G20" s="10">
        <v>6016.5999999999995</v>
      </c>
      <c r="H20" s="10">
        <f t="shared" si="2"/>
        <v>376.52079247415486</v>
      </c>
      <c r="I20" s="617">
        <v>21714</v>
      </c>
      <c r="J20" s="801">
        <v>21492</v>
      </c>
      <c r="K20" s="789">
        <v>1094753.1784212096</v>
      </c>
      <c r="L20" s="617">
        <v>1466473.4323752057</v>
      </c>
      <c r="M20" s="617">
        <v>6656.2088173851716</v>
      </c>
      <c r="N20" s="617">
        <v>59533.2142662197</v>
      </c>
      <c r="O20" s="617">
        <v>207910.4883571908</v>
      </c>
      <c r="P20" s="617">
        <v>271650.25079175568</v>
      </c>
      <c r="Q20" s="617">
        <v>244272.8342345522</v>
      </c>
      <c r="R20" s="617">
        <v>169944.92337143788</v>
      </c>
      <c r="S20" s="617">
        <v>959769.88501027657</v>
      </c>
      <c r="T20" s="617">
        <v>1570587.1625269193</v>
      </c>
      <c r="U20" s="617">
        <v>438368.05048125674</v>
      </c>
      <c r="V20" s="617">
        <v>335034.900171149</v>
      </c>
      <c r="W20" s="617">
        <v>261268.13153713147</v>
      </c>
      <c r="X20" s="617">
        <v>535916.08033738192</v>
      </c>
    </row>
    <row r="21" spans="1:24">
      <c r="A21" s="10" t="s">
        <v>30</v>
      </c>
      <c r="B21" s="10" t="s">
        <v>253</v>
      </c>
      <c r="C21" s="617">
        <v>1743990</v>
      </c>
      <c r="D21" s="617">
        <v>1714828</v>
      </c>
      <c r="E21" s="10">
        <f t="shared" si="0"/>
        <v>29162</v>
      </c>
      <c r="F21" s="193">
        <f t="shared" si="1"/>
        <v>3.3782549807091413E-3</v>
      </c>
      <c r="G21" s="10">
        <v>3173.4999999999986</v>
      </c>
      <c r="H21" s="10">
        <f t="shared" si="2"/>
        <v>549.5478178667089</v>
      </c>
      <c r="I21" s="617">
        <v>20336</v>
      </c>
      <c r="J21" s="801">
        <v>20112</v>
      </c>
      <c r="K21" s="617">
        <v>771108.46058334771</v>
      </c>
      <c r="L21" s="617">
        <v>1108175.1273008503</v>
      </c>
      <c r="M21" s="617">
        <v>1876.6699140487783</v>
      </c>
      <c r="N21" s="617">
        <v>42918.307400805163</v>
      </c>
      <c r="O21" s="617">
        <v>129577.37650780963</v>
      </c>
      <c r="P21" s="617">
        <v>182377.58287997995</v>
      </c>
      <c r="Q21" s="617">
        <v>189544.15897172244</v>
      </c>
      <c r="R21" s="617">
        <v>103370.44962946985</v>
      </c>
      <c r="S21" s="617">
        <v>650076.6325935421</v>
      </c>
      <c r="T21" s="617">
        <v>1256832.0052097884</v>
      </c>
      <c r="U21" s="617">
        <v>399951.40505496488</v>
      </c>
      <c r="V21" s="617">
        <v>261248.7565529446</v>
      </c>
      <c r="W21" s="617">
        <v>212197.58114314935</v>
      </c>
      <c r="X21" s="617">
        <v>383434.26245872851</v>
      </c>
    </row>
    <row r="22" spans="1:24">
      <c r="A22" s="10" t="s">
        <v>31</v>
      </c>
      <c r="B22" s="10" t="s">
        <v>32</v>
      </c>
      <c r="C22" s="617">
        <v>1312304</v>
      </c>
      <c r="D22" s="617">
        <v>1218166</v>
      </c>
      <c r="E22" s="10">
        <f t="shared" si="0"/>
        <v>94138</v>
      </c>
      <c r="F22" s="193">
        <f t="shared" si="1"/>
        <v>1.499895648526057E-2</v>
      </c>
      <c r="G22" s="10">
        <v>5381.4900000000071</v>
      </c>
      <c r="H22" s="10">
        <f t="shared" si="2"/>
        <v>243.85514049083028</v>
      </c>
      <c r="I22" s="617">
        <v>22338</v>
      </c>
      <c r="J22" s="801">
        <v>22148</v>
      </c>
      <c r="K22" s="617">
        <v>663243.18359178503</v>
      </c>
      <c r="L22" s="617">
        <v>881949.50012495602</v>
      </c>
      <c r="M22" s="617">
        <v>3844.4788489949092</v>
      </c>
      <c r="N22" s="617">
        <v>34033.493773774055</v>
      </c>
      <c r="O22" s="617">
        <v>148809.84901366019</v>
      </c>
      <c r="P22" s="617">
        <v>165457.98636044862</v>
      </c>
      <c r="Q22" s="617">
        <v>141679.80399995117</v>
      </c>
      <c r="R22" s="617">
        <v>82828.302956576357</v>
      </c>
      <c r="S22" s="617">
        <v>576992.1724999469</v>
      </c>
      <c r="T22" s="617">
        <v>917171.34332195995</v>
      </c>
      <c r="U22" s="617">
        <v>208971.54093435209</v>
      </c>
      <c r="V22" s="617">
        <v>181783.20245194322</v>
      </c>
      <c r="W22" s="617">
        <v>160819.70697960025</v>
      </c>
      <c r="X22" s="617">
        <v>365596.89295606414</v>
      </c>
    </row>
    <row r="23" spans="1:24">
      <c r="A23" s="10" t="s">
        <v>33</v>
      </c>
      <c r="B23" s="10" t="s">
        <v>34</v>
      </c>
      <c r="C23" s="617">
        <v>1182127</v>
      </c>
      <c r="D23" s="617">
        <v>1154861</v>
      </c>
      <c r="E23" s="10">
        <f t="shared" si="0"/>
        <v>27266</v>
      </c>
      <c r="F23" s="193">
        <f t="shared" si="1"/>
        <v>4.6779813121761576E-3</v>
      </c>
      <c r="G23" s="10">
        <v>925.66000000000042</v>
      </c>
      <c r="H23" s="10">
        <f t="shared" si="2"/>
        <v>1277.0639327614886</v>
      </c>
      <c r="I23" s="617">
        <v>19632</v>
      </c>
      <c r="J23" s="801">
        <v>19438</v>
      </c>
      <c r="K23" s="617">
        <v>553996.7746695783</v>
      </c>
      <c r="L23" s="617">
        <v>785265.16312621546</v>
      </c>
      <c r="M23" s="617">
        <v>1299.8369464370637</v>
      </c>
      <c r="N23" s="617">
        <v>22292.252722112524</v>
      </c>
      <c r="O23" s="617">
        <v>106573.34094051189</v>
      </c>
      <c r="P23" s="617">
        <v>128830.11254962179</v>
      </c>
      <c r="Q23" s="617">
        <v>124355.80807648483</v>
      </c>
      <c r="R23" s="617">
        <v>80116.20511228939</v>
      </c>
      <c r="S23" s="617">
        <v>463188.92784144433</v>
      </c>
      <c r="T23" s="617">
        <v>796935.22051074589</v>
      </c>
      <c r="U23" s="617">
        <v>248644.48145660898</v>
      </c>
      <c r="V23" s="617">
        <v>155989.57720647947</v>
      </c>
      <c r="W23" s="617">
        <v>125878.94200327553</v>
      </c>
      <c r="X23" s="617">
        <v>266422.21984438208</v>
      </c>
    </row>
    <row r="24" spans="1:24">
      <c r="A24" s="10" t="s">
        <v>35</v>
      </c>
      <c r="B24" s="10" t="s">
        <v>61</v>
      </c>
      <c r="C24" s="617">
        <v>1196122</v>
      </c>
      <c r="D24" s="617">
        <v>1114857</v>
      </c>
      <c r="E24" s="10">
        <f t="shared" si="0"/>
        <v>81265</v>
      </c>
      <c r="F24" s="193">
        <f t="shared" si="1"/>
        <v>1.417117472698338E-2</v>
      </c>
      <c r="G24" s="10">
        <v>5613.4100000000026</v>
      </c>
      <c r="H24" s="10">
        <f t="shared" si="2"/>
        <v>213.08295670546059</v>
      </c>
      <c r="I24" s="617">
        <v>21696</v>
      </c>
      <c r="J24" s="801">
        <v>21494</v>
      </c>
      <c r="K24" s="617">
        <v>583384.82700682234</v>
      </c>
      <c r="L24" s="617">
        <v>794499.48285123613</v>
      </c>
      <c r="M24" s="617">
        <v>3175.2584305665268</v>
      </c>
      <c r="N24" s="617">
        <v>34834.533772698858</v>
      </c>
      <c r="O24" s="617">
        <v>100083.36030043827</v>
      </c>
      <c r="P24" s="617">
        <v>141948.53522230545</v>
      </c>
      <c r="Q24" s="617">
        <v>140513.13029115688</v>
      </c>
      <c r="R24" s="617">
        <v>86464.604747692661</v>
      </c>
      <c r="S24" s="617">
        <v>507113.05139855214</v>
      </c>
      <c r="T24" s="617">
        <v>852288.57231529674</v>
      </c>
      <c r="U24" s="617">
        <v>213840.05873292827</v>
      </c>
      <c r="V24" s="617">
        <v>204817.22507505043</v>
      </c>
      <c r="W24" s="617">
        <v>150548.76172606321</v>
      </c>
      <c r="X24" s="617">
        <v>283082.52678125497</v>
      </c>
    </row>
    <row r="25" spans="1:24">
      <c r="A25" s="10" t="s">
        <v>36</v>
      </c>
      <c r="B25" s="10" t="s">
        <v>37</v>
      </c>
      <c r="C25" s="617">
        <v>1006289</v>
      </c>
      <c r="D25" s="617">
        <v>1000275</v>
      </c>
      <c r="E25" s="10">
        <f t="shared" si="0"/>
        <v>6014</v>
      </c>
      <c r="F25" s="193">
        <f t="shared" si="1"/>
        <v>1.1995878444324563E-3</v>
      </c>
      <c r="G25" s="10">
        <v>2584.9400000000005</v>
      </c>
      <c r="H25" s="10">
        <f t="shared" si="2"/>
        <v>389.28911309353401</v>
      </c>
      <c r="I25" s="617">
        <v>21062</v>
      </c>
      <c r="J25" s="801">
        <v>20778</v>
      </c>
      <c r="K25" s="617">
        <v>453536.51514902781</v>
      </c>
      <c r="L25" s="617">
        <v>614788.98689081438</v>
      </c>
      <c r="M25" s="617">
        <v>1228.2431045565268</v>
      </c>
      <c r="N25" s="617">
        <v>37754.661727742197</v>
      </c>
      <c r="O25" s="617">
        <v>71903.545588559049</v>
      </c>
      <c r="P25" s="617">
        <v>99699.147878729826</v>
      </c>
      <c r="Q25" s="617">
        <v>120534.50679572557</v>
      </c>
      <c r="R25" s="617">
        <v>60819.982157954095</v>
      </c>
      <c r="S25" s="617">
        <v>392154.17304492847</v>
      </c>
      <c r="T25" s="617">
        <v>763471.26576738339</v>
      </c>
      <c r="U25" s="617">
        <v>239597.40880664208</v>
      </c>
      <c r="V25" s="617">
        <v>157631.02042577145</v>
      </c>
      <c r="W25" s="617">
        <v>137547.78865591707</v>
      </c>
      <c r="X25" s="617">
        <v>228695.04787905246</v>
      </c>
    </row>
    <row r="26" spans="1:24">
      <c r="A26" s="10" t="s">
        <v>38</v>
      </c>
      <c r="B26" s="10" t="s">
        <v>39</v>
      </c>
      <c r="C26" s="617">
        <v>927570</v>
      </c>
      <c r="D26" s="617">
        <v>862111</v>
      </c>
      <c r="E26" s="10">
        <f t="shared" si="0"/>
        <v>65459</v>
      </c>
      <c r="F26" s="193">
        <f t="shared" si="1"/>
        <v>1.4744489308006625E-2</v>
      </c>
      <c r="G26" s="10">
        <v>3301.97</v>
      </c>
      <c r="H26" s="10">
        <f t="shared" si="2"/>
        <v>280.91412096415172</v>
      </c>
      <c r="I26" s="617">
        <v>21704</v>
      </c>
      <c r="J26" s="801">
        <v>21472</v>
      </c>
      <c r="K26" s="617">
        <v>456198.84357776062</v>
      </c>
      <c r="L26" s="617">
        <v>607870.41466160107</v>
      </c>
      <c r="M26" s="617">
        <v>3583.1802662874838</v>
      </c>
      <c r="N26" s="617">
        <v>22014.074973679475</v>
      </c>
      <c r="O26" s="617">
        <v>84912.245583070908</v>
      </c>
      <c r="P26" s="617">
        <v>117276.95505998399</v>
      </c>
      <c r="Q26" s="617">
        <v>103846.74858294018</v>
      </c>
      <c r="R26" s="617">
        <v>71843.295441799855</v>
      </c>
      <c r="S26" s="617">
        <v>403718.39871935971</v>
      </c>
      <c r="T26" s="617">
        <v>644409.17092271103</v>
      </c>
      <c r="U26" s="617">
        <v>144291.25549236522</v>
      </c>
      <c r="V26" s="617">
        <v>161241.34292211235</v>
      </c>
      <c r="W26" s="617">
        <v>113289.57183829171</v>
      </c>
      <c r="X26" s="617">
        <v>225587.00066994145</v>
      </c>
    </row>
    <row r="27" spans="1:24">
      <c r="A27" s="10" t="s">
        <v>40</v>
      </c>
      <c r="B27" s="10" t="s">
        <v>41</v>
      </c>
      <c r="C27" s="617">
        <v>776465</v>
      </c>
      <c r="D27" s="617">
        <v>759868</v>
      </c>
      <c r="E27" s="10">
        <f t="shared" si="0"/>
        <v>16597</v>
      </c>
      <c r="F27" s="193">
        <f t="shared" si="1"/>
        <v>4.3307172768684635E-3</v>
      </c>
      <c r="G27" s="10">
        <v>2197.65</v>
      </c>
      <c r="H27" s="10">
        <f t="shared" si="2"/>
        <v>353.31604213591788</v>
      </c>
      <c r="I27" s="617">
        <v>21570</v>
      </c>
      <c r="J27" s="801">
        <v>21412</v>
      </c>
      <c r="K27" s="617">
        <v>378369.7527175204</v>
      </c>
      <c r="L27" s="617">
        <v>516943.21594985225</v>
      </c>
      <c r="M27" s="617">
        <v>1823.5924745253628</v>
      </c>
      <c r="N27" s="617">
        <v>16690.531372203342</v>
      </c>
      <c r="O27" s="617">
        <v>65511.43614041902</v>
      </c>
      <c r="P27" s="617">
        <v>89717.078481482444</v>
      </c>
      <c r="Q27" s="617">
        <v>86221.347746253625</v>
      </c>
      <c r="R27" s="617">
        <v>68715.195777026689</v>
      </c>
      <c r="S27" s="617">
        <v>328860.3756907534</v>
      </c>
      <c r="T27" s="617">
        <v>551778.46354170877</v>
      </c>
      <c r="U27" s="617">
        <v>141616.44129648883</v>
      </c>
      <c r="V27" s="617">
        <v>149063.81009832633</v>
      </c>
      <c r="W27" s="617">
        <v>87711.215002724421</v>
      </c>
      <c r="X27" s="617">
        <v>173386.99714416947</v>
      </c>
    </row>
    <row r="28" spans="1:24">
      <c r="A28" s="10" t="s">
        <v>42</v>
      </c>
      <c r="B28" s="10" t="s">
        <v>43</v>
      </c>
      <c r="C28" s="617">
        <v>687271</v>
      </c>
      <c r="D28" s="617">
        <v>666372</v>
      </c>
      <c r="E28" s="10">
        <f t="shared" si="0"/>
        <v>20899</v>
      </c>
      <c r="F28" s="193">
        <f t="shared" si="1"/>
        <v>6.1952335625911677E-3</v>
      </c>
      <c r="G28" s="10">
        <v>2621.1700000000005</v>
      </c>
      <c r="H28" s="10">
        <f t="shared" si="2"/>
        <v>262.20008622103865</v>
      </c>
      <c r="I28" s="617">
        <v>22274</v>
      </c>
      <c r="J28" s="801">
        <v>22052</v>
      </c>
      <c r="K28" s="617">
        <v>327542.19737871521</v>
      </c>
      <c r="L28" s="617">
        <v>445380.14470288553</v>
      </c>
      <c r="M28" s="617">
        <v>1475.8141364105963</v>
      </c>
      <c r="N28" s="617">
        <v>16994.185119018224</v>
      </c>
      <c r="O28" s="617">
        <v>70988.940484278719</v>
      </c>
      <c r="P28" s="617">
        <v>82227.745938786713</v>
      </c>
      <c r="Q28" s="617">
        <v>72457.813577278037</v>
      </c>
      <c r="R28" s="617">
        <v>46623.436978746729</v>
      </c>
      <c r="S28" s="617">
        <v>289729.05340859259</v>
      </c>
      <c r="T28" s="617">
        <v>479652.3342209484</v>
      </c>
      <c r="U28" s="617">
        <v>124519.3734969224</v>
      </c>
      <c r="V28" s="617">
        <v>98640.137864936987</v>
      </c>
      <c r="W28" s="617">
        <v>76535.80027332723</v>
      </c>
      <c r="X28" s="617">
        <v>179957.02258576182</v>
      </c>
    </row>
    <row r="29" spans="1:24">
      <c r="A29" s="10" t="s">
        <v>44</v>
      </c>
      <c r="B29" s="10" t="s">
        <v>45</v>
      </c>
      <c r="C29" s="617">
        <v>710481</v>
      </c>
      <c r="D29" s="617">
        <v>663214</v>
      </c>
      <c r="E29" s="10">
        <f t="shared" si="0"/>
        <v>47267</v>
      </c>
      <c r="F29" s="193">
        <f t="shared" si="1"/>
        <v>1.386412625653341E-2</v>
      </c>
      <c r="G29" s="10">
        <v>3747.2499999999991</v>
      </c>
      <c r="H29" s="10">
        <f t="shared" si="2"/>
        <v>189.60064046967781</v>
      </c>
      <c r="I29" s="617">
        <v>21414</v>
      </c>
      <c r="J29" s="801">
        <v>21206</v>
      </c>
      <c r="K29" s="617">
        <v>345899.99472984258</v>
      </c>
      <c r="L29" s="617">
        <v>471881.93116795295</v>
      </c>
      <c r="M29" s="617">
        <v>5220.1182014617216</v>
      </c>
      <c r="N29" s="617">
        <v>15223.644598491108</v>
      </c>
      <c r="O29" s="617">
        <v>63804.110087165158</v>
      </c>
      <c r="P29" s="617">
        <v>85405.843258183857</v>
      </c>
      <c r="Q29" s="617">
        <v>80513.013745974298</v>
      </c>
      <c r="R29" s="617">
        <v>58789.93110928555</v>
      </c>
      <c r="S29" s="617">
        <v>308990.85027792794</v>
      </c>
      <c r="T29" s="617">
        <v>478617.41850697045</v>
      </c>
      <c r="U29" s="617">
        <v>116361.74793109135</v>
      </c>
      <c r="V29" s="617">
        <v>109466.12029125943</v>
      </c>
      <c r="W29" s="617">
        <v>84487.208199017768</v>
      </c>
      <c r="X29" s="617">
        <v>168302.34208560182</v>
      </c>
    </row>
    <row r="30" spans="1:24">
      <c r="A30" s="10" t="s">
        <v>46</v>
      </c>
      <c r="B30" s="10" t="s">
        <v>47</v>
      </c>
      <c r="C30" s="617">
        <v>663070</v>
      </c>
      <c r="D30" s="617">
        <v>651278</v>
      </c>
      <c r="E30" s="10">
        <f t="shared" si="0"/>
        <v>11792</v>
      </c>
      <c r="F30" s="193">
        <f t="shared" si="1"/>
        <v>3.5952432223769351E-3</v>
      </c>
      <c r="G30" s="10">
        <v>2364.6600000000003</v>
      </c>
      <c r="H30" s="10">
        <f t="shared" si="2"/>
        <v>280.40817707408252</v>
      </c>
      <c r="I30" s="617">
        <v>20580</v>
      </c>
      <c r="J30" s="801">
        <v>20386</v>
      </c>
      <c r="K30" s="617">
        <v>311197.24836773111</v>
      </c>
      <c r="L30" s="617">
        <v>427910.66137865995</v>
      </c>
      <c r="M30" s="617">
        <v>1720.7149281202776</v>
      </c>
      <c r="N30" s="617">
        <v>13209.336294828905</v>
      </c>
      <c r="O30" s="617">
        <v>42675.665426708656</v>
      </c>
      <c r="P30" s="617">
        <v>74847.424930921057</v>
      </c>
      <c r="Q30" s="617">
        <v>76520.540462544057</v>
      </c>
      <c r="R30" s="617">
        <v>57341.982071087434</v>
      </c>
      <c r="S30" s="617">
        <v>266101.26428249734</v>
      </c>
      <c r="T30" s="617">
        <v>472014.92432209145</v>
      </c>
      <c r="U30" s="617">
        <v>151954.51755739574</v>
      </c>
      <c r="V30" s="617">
        <v>121195.55247663586</v>
      </c>
      <c r="W30" s="617">
        <v>76159.542008982025</v>
      </c>
      <c r="X30" s="617">
        <v>122705.31227907765</v>
      </c>
    </row>
    <row r="31" spans="1:24">
      <c r="A31" s="12" t="s">
        <v>56</v>
      </c>
      <c r="B31" s="10" t="s">
        <v>63</v>
      </c>
      <c r="C31" s="617">
        <v>616763</v>
      </c>
      <c r="D31" s="617">
        <v>607681</v>
      </c>
      <c r="E31" s="10">
        <f t="shared" si="0"/>
        <v>9082</v>
      </c>
      <c r="F31" s="193">
        <f t="shared" si="1"/>
        <v>2.9713577972435047E-3</v>
      </c>
      <c r="G31" s="10">
        <v>1195.8299999999997</v>
      </c>
      <c r="H31" s="10">
        <f t="shared" si="2"/>
        <v>515.76143766254415</v>
      </c>
      <c r="I31" s="617">
        <v>20658</v>
      </c>
      <c r="J31" s="801">
        <v>20388</v>
      </c>
      <c r="K31" s="617">
        <v>262786.53725066001</v>
      </c>
      <c r="L31" s="617">
        <v>372137.95063877921</v>
      </c>
      <c r="M31" s="617">
        <v>1321.381937189868</v>
      </c>
      <c r="N31" s="617">
        <v>19221.140277977305</v>
      </c>
      <c r="O31" s="617">
        <v>32964.959135400255</v>
      </c>
      <c r="P31" s="617">
        <v>61493.632834155142</v>
      </c>
      <c r="Q31" s="617">
        <v>74310.000711606423</v>
      </c>
      <c r="R31" s="617">
        <v>34944.96405556926</v>
      </c>
      <c r="S31" s="617">
        <v>224166.88051071553</v>
      </c>
      <c r="T31" s="617">
        <v>474258.39208960661</v>
      </c>
      <c r="U31" s="617">
        <v>146305.09276298367</v>
      </c>
      <c r="V31" s="617">
        <v>110623.44124373917</v>
      </c>
      <c r="W31" s="617">
        <v>91156.48485531949</v>
      </c>
      <c r="X31" s="617">
        <v>126173.37322756418</v>
      </c>
    </row>
    <row r="32" spans="1:24">
      <c r="A32" s="10" t="s">
        <v>57</v>
      </c>
      <c r="B32" s="10" t="s">
        <v>64</v>
      </c>
      <c r="C32" s="617">
        <v>539870.00000000012</v>
      </c>
      <c r="D32" s="617">
        <v>543591</v>
      </c>
      <c r="E32" s="10">
        <f t="shared" si="0"/>
        <v>-3720.9999999998836</v>
      </c>
      <c r="F32" s="193">
        <f t="shared" si="1"/>
        <v>-1.3728080384898176E-3</v>
      </c>
      <c r="G32" s="10">
        <v>678.88000000000022</v>
      </c>
      <c r="H32" s="10">
        <f t="shared" si="2"/>
        <v>795.23627150600976</v>
      </c>
      <c r="I32" s="617">
        <v>16158</v>
      </c>
      <c r="J32" s="801">
        <v>15986</v>
      </c>
      <c r="K32" s="617">
        <v>231097.46535568507</v>
      </c>
      <c r="L32" s="617">
        <v>342127.22379217029</v>
      </c>
      <c r="M32" s="617">
        <v>492.78188209330523</v>
      </c>
      <c r="N32" s="617">
        <v>7594.6635731792121</v>
      </c>
      <c r="O32" s="617">
        <v>17028.824096531553</v>
      </c>
      <c r="P32" s="617">
        <v>46404.429959583162</v>
      </c>
      <c r="Q32" s="617">
        <v>58430.033697415405</v>
      </c>
      <c r="R32" s="617">
        <v>52962.732282433135</v>
      </c>
      <c r="S32" s="617">
        <v>183223.07750851047</v>
      </c>
      <c r="T32" s="617">
        <v>388737.66663707164</v>
      </c>
      <c r="U32" s="617">
        <v>151301.68068033076</v>
      </c>
      <c r="V32" s="617">
        <v>106608.4326013681</v>
      </c>
      <c r="W32" s="617">
        <v>63923.295139612666</v>
      </c>
      <c r="X32" s="617">
        <v>66904.258215760245</v>
      </c>
    </row>
    <row r="33" spans="1:25">
      <c r="A33" s="10" t="s">
        <v>48</v>
      </c>
      <c r="B33" s="10" t="s">
        <v>49</v>
      </c>
      <c r="C33" s="617">
        <v>589610</v>
      </c>
      <c r="D33" s="617">
        <v>542867</v>
      </c>
      <c r="E33" s="10">
        <f t="shared" si="0"/>
        <v>46743</v>
      </c>
      <c r="F33" s="193">
        <f t="shared" si="1"/>
        <v>1.6656588954903264E-2</v>
      </c>
      <c r="G33" s="10">
        <v>1673.0099999999991</v>
      </c>
      <c r="H33" s="10">
        <f t="shared" si="2"/>
        <v>352.42467169951186</v>
      </c>
      <c r="I33" s="617">
        <v>20472</v>
      </c>
      <c r="J33" s="801">
        <v>20322</v>
      </c>
      <c r="K33" s="617">
        <v>275927.63221604313</v>
      </c>
      <c r="L33" s="617">
        <v>394965.79332694429</v>
      </c>
      <c r="M33" s="617">
        <v>1439.501144068545</v>
      </c>
      <c r="N33" s="617">
        <v>16821.847801236374</v>
      </c>
      <c r="O33" s="617">
        <v>53626.696104771494</v>
      </c>
      <c r="P33" s="617">
        <v>68065.164664657015</v>
      </c>
      <c r="Q33" s="617">
        <v>61203.313348132804</v>
      </c>
      <c r="R33" s="617">
        <v>30077.074843079721</v>
      </c>
      <c r="S33" s="617">
        <v>230950.69736248982</v>
      </c>
      <c r="T33" s="617">
        <v>405287.58721255651</v>
      </c>
      <c r="U33" s="617">
        <v>101537.79272316257</v>
      </c>
      <c r="V33" s="617">
        <v>71376.412804792461</v>
      </c>
      <c r="W33" s="617">
        <v>73519.061094248929</v>
      </c>
      <c r="X33" s="617">
        <v>158854.32059035255</v>
      </c>
    </row>
    <row r="34" spans="1:25">
      <c r="A34" s="10" t="s">
        <v>58</v>
      </c>
      <c r="B34" s="10" t="s">
        <v>65</v>
      </c>
      <c r="C34" s="617">
        <v>524490</v>
      </c>
      <c r="D34" s="617">
        <v>508604</v>
      </c>
      <c r="E34" s="10">
        <f t="shared" si="0"/>
        <v>15886</v>
      </c>
      <c r="F34" s="193">
        <f t="shared" si="1"/>
        <v>6.170287114945011E-3</v>
      </c>
      <c r="G34" s="10">
        <v>2083.4599999999996</v>
      </c>
      <c r="H34" s="10">
        <f t="shared" si="2"/>
        <v>251.73989421443181</v>
      </c>
      <c r="I34" s="617">
        <v>18574</v>
      </c>
      <c r="J34" s="801">
        <v>18388</v>
      </c>
      <c r="K34" s="617">
        <v>237009.98110716726</v>
      </c>
      <c r="L34" s="617">
        <v>325784.66416537663</v>
      </c>
      <c r="M34" s="617">
        <v>3524.264628064795</v>
      </c>
      <c r="N34" s="617">
        <v>18813.948953615462</v>
      </c>
      <c r="O34" s="617">
        <v>26167.917179680546</v>
      </c>
      <c r="P34" s="617">
        <v>50641.519834538296</v>
      </c>
      <c r="Q34" s="617">
        <v>56808.831923981212</v>
      </c>
      <c r="R34" s="617">
        <v>41891.892021193715</v>
      </c>
      <c r="S34" s="617">
        <v>197446.98554109602</v>
      </c>
      <c r="T34" s="617">
        <v>387935.47917206999</v>
      </c>
      <c r="U34" s="617">
        <v>131046.22605344579</v>
      </c>
      <c r="V34" s="617">
        <v>93238.541905998747</v>
      </c>
      <c r="W34" s="617">
        <v>65414.587568607327</v>
      </c>
      <c r="X34" s="617">
        <v>98236.123644018211</v>
      </c>
    </row>
    <row r="35" spans="1:25">
      <c r="A35" s="10" t="s">
        <v>69</v>
      </c>
      <c r="B35" s="10" t="s">
        <v>70</v>
      </c>
      <c r="C35" s="617">
        <v>760933</v>
      </c>
      <c r="D35" s="617">
        <v>715959</v>
      </c>
      <c r="E35" s="10">
        <f t="shared" si="0"/>
        <v>44974</v>
      </c>
      <c r="F35" s="193">
        <f t="shared" si="1"/>
        <v>1.2259015044282865E-2</v>
      </c>
      <c r="G35" s="10">
        <v>577.88</v>
      </c>
      <c r="H35" s="10">
        <f t="shared" si="2"/>
        <v>1316.7664567038139</v>
      </c>
      <c r="I35" s="617">
        <v>21678</v>
      </c>
      <c r="J35" s="801">
        <v>21482</v>
      </c>
      <c r="K35" s="617">
        <v>372652.50863171101</v>
      </c>
      <c r="L35" s="617">
        <v>519593.91053900128</v>
      </c>
      <c r="M35" s="617">
        <v>455.15878716300114</v>
      </c>
      <c r="N35" s="617">
        <v>19055.733834427385</v>
      </c>
      <c r="O35" s="617">
        <v>74411.470260687012</v>
      </c>
      <c r="P35" s="617">
        <v>91570.220397778787</v>
      </c>
      <c r="Q35" s="617">
        <v>87255.66603035164</v>
      </c>
      <c r="R35" s="617">
        <v>46590.197265356888</v>
      </c>
      <c r="S35" s="617">
        <v>319164.81067562511</v>
      </c>
      <c r="T35" s="617">
        <v>532058.82479099242</v>
      </c>
      <c r="U35" s="617">
        <v>127537.65596571345</v>
      </c>
      <c r="V35" s="617">
        <v>110768.44947992107</v>
      </c>
      <c r="W35" s="617">
        <v>92804.85032163735</v>
      </c>
      <c r="X35" s="617">
        <v>200947.86902372076</v>
      </c>
    </row>
    <row r="36" spans="1:25">
      <c r="A36" s="10" t="s">
        <v>71</v>
      </c>
      <c r="B36" s="10" t="s">
        <v>114</v>
      </c>
      <c r="C36" s="617">
        <v>1526016</v>
      </c>
      <c r="D36" s="617">
        <v>1434661</v>
      </c>
      <c r="E36" s="10">
        <f t="shared" si="0"/>
        <v>91355</v>
      </c>
      <c r="F36" s="193">
        <f t="shared" si="1"/>
        <v>1.2422897693864709E-2</v>
      </c>
      <c r="G36" s="10">
        <v>10000</v>
      </c>
      <c r="H36" s="10">
        <f t="shared" si="2"/>
        <v>152.60159999999999</v>
      </c>
      <c r="I36" s="617">
        <v>21038</v>
      </c>
      <c r="J36" s="801">
        <v>20822</v>
      </c>
      <c r="K36" s="617">
        <v>727865.7851427627</v>
      </c>
      <c r="L36" s="617">
        <v>991656.13429861132</v>
      </c>
      <c r="M36" s="617">
        <v>7325.3699438355361</v>
      </c>
      <c r="N36" s="617">
        <v>45441.403552481119</v>
      </c>
      <c r="O36" s="617">
        <v>111979.23191798931</v>
      </c>
      <c r="P36" s="617">
        <v>168903.24688862151</v>
      </c>
      <c r="Q36" s="617">
        <v>176655.75647963019</v>
      </c>
      <c r="R36" s="617">
        <v>119651.19488877252</v>
      </c>
      <c r="S36" s="617">
        <v>630082.02478266379</v>
      </c>
      <c r="T36" s="617">
        <v>1105952.5093896203</v>
      </c>
      <c r="U36" s="617">
        <v>303912.00689154718</v>
      </c>
      <c r="V36" s="617">
        <v>277378.9219173672</v>
      </c>
      <c r="W36" s="617">
        <v>192127.89231555743</v>
      </c>
      <c r="X36" s="617">
        <v>332533.68826514756</v>
      </c>
    </row>
    <row r="37" spans="1:25">
      <c r="A37" s="10" t="s">
        <v>73</v>
      </c>
      <c r="B37" s="10" t="s">
        <v>74</v>
      </c>
      <c r="C37" s="617">
        <v>3343326</v>
      </c>
      <c r="D37" s="617">
        <v>3206137</v>
      </c>
      <c r="E37" s="10">
        <f t="shared" si="0"/>
        <v>137189</v>
      </c>
      <c r="F37" s="193">
        <f t="shared" si="1"/>
        <v>8.4150762118825693E-3</v>
      </c>
      <c r="G37" s="10">
        <v>41283.870000000032</v>
      </c>
      <c r="H37" s="10">
        <f t="shared" si="2"/>
        <v>80.983832184337302</v>
      </c>
      <c r="I37" s="617" t="s">
        <v>1784</v>
      </c>
      <c r="J37" s="801" t="s">
        <v>1784</v>
      </c>
      <c r="K37" s="617">
        <v>1533288.8862898443</v>
      </c>
      <c r="L37" s="617">
        <v>2089197.1228057828</v>
      </c>
      <c r="M37" s="617">
        <v>31495.48432778873</v>
      </c>
      <c r="N37" s="617">
        <v>105836.61529173868</v>
      </c>
      <c r="O37" s="617">
        <v>189561.06643639551</v>
      </c>
      <c r="P37" s="617">
        <v>339240.55715442449</v>
      </c>
      <c r="Q37" s="617">
        <v>384152.22518465726</v>
      </c>
      <c r="R37" s="617">
        <v>280067.14250800095</v>
      </c>
      <c r="S37" s="617">
        <v>1329284.2374183012</v>
      </c>
      <c r="T37" s="617">
        <v>2509964.0136640682</v>
      </c>
      <c r="U37" s="617">
        <v>744676.88658764947</v>
      </c>
      <c r="V37" s="617">
        <v>666893.16011656483</v>
      </c>
      <c r="W37" s="617">
        <v>435348.83296074433</v>
      </c>
      <c r="X37" s="617">
        <v>663045.13399910741</v>
      </c>
    </row>
    <row r="38" spans="1:25" s="788" customFormat="1">
      <c r="A38" s="788" t="s">
        <v>1413</v>
      </c>
      <c r="B38" s="788" t="s">
        <v>1406</v>
      </c>
      <c r="C38" s="789">
        <v>5879144</v>
      </c>
      <c r="D38" s="789">
        <v>5708497</v>
      </c>
      <c r="E38" s="788">
        <v>170647</v>
      </c>
      <c r="F38" s="193">
        <v>5.9084678404386741E-3</v>
      </c>
      <c r="G38" s="833">
        <v>84061</v>
      </c>
      <c r="H38" s="788">
        <f>C38/G38</f>
        <v>69.939020473227771</v>
      </c>
      <c r="I38" s="789">
        <v>19806</v>
      </c>
      <c r="J38" s="801">
        <v>19572</v>
      </c>
      <c r="K38" s="789">
        <v>2658977.1800734187</v>
      </c>
      <c r="L38" s="789">
        <v>3627542.4863822255</v>
      </c>
      <c r="M38" s="789">
        <v>66453.962180488685</v>
      </c>
      <c r="N38" s="789">
        <v>175950.43548200474</v>
      </c>
      <c r="O38" s="789">
        <v>304657.21880918497</v>
      </c>
      <c r="P38" s="789">
        <v>576040.63459035044</v>
      </c>
      <c r="Q38" s="789">
        <v>674646.33955088374</v>
      </c>
      <c r="R38" s="789">
        <v>510698.52408263221</v>
      </c>
      <c r="S38" s="789">
        <v>2309298.3609901909</v>
      </c>
      <c r="T38" s="789">
        <v>4442667.1309880912</v>
      </c>
      <c r="U38" s="789">
        <v>1392888.6928666581</v>
      </c>
      <c r="V38" s="789">
        <v>1203352.2032536727</v>
      </c>
      <c r="W38" s="789">
        <v>759132.21005662344</v>
      </c>
      <c r="X38" s="789">
        <v>1087294.0248111389</v>
      </c>
    </row>
    <row r="39" spans="1:25">
      <c r="A39" s="10" t="s">
        <v>75</v>
      </c>
      <c r="B39" s="10" t="s">
        <v>1141</v>
      </c>
      <c r="C39" s="617">
        <v>64027958</v>
      </c>
      <c r="D39" s="617">
        <v>62465708.996020004</v>
      </c>
      <c r="E39" s="10">
        <f t="shared" si="0"/>
        <v>1562249.0039799958</v>
      </c>
      <c r="F39" s="193">
        <f t="shared" si="1"/>
        <v>4.9526403008128975E-3</v>
      </c>
      <c r="G39" s="10">
        <v>543940.86000000034</v>
      </c>
      <c r="H39" s="10">
        <f>C39/G39</f>
        <v>117.71124897658903</v>
      </c>
      <c r="I39" s="617">
        <v>20328</v>
      </c>
      <c r="J39" s="801">
        <v>20098</v>
      </c>
      <c r="K39" s="617">
        <v>29857720.948420454</v>
      </c>
      <c r="L39" s="617">
        <v>40571371.95574829</v>
      </c>
      <c r="M39" s="617">
        <v>414856.30222435389</v>
      </c>
      <c r="N39" s="617">
        <v>1640288.635359603</v>
      </c>
      <c r="O39" s="617">
        <v>4516939.7408130541</v>
      </c>
      <c r="P39" s="617">
        <v>6683537.1117984522</v>
      </c>
      <c r="Q39" s="617">
        <v>7208744.9965607217</v>
      </c>
      <c r="R39" s="617">
        <v>5362200.8732601497</v>
      </c>
      <c r="S39" s="617">
        <v>25832863.628487639</v>
      </c>
      <c r="T39" s="623">
        <v>46645853.60756544</v>
      </c>
      <c r="U39" s="623">
        <v>14523790.315997621</v>
      </c>
      <c r="V39" s="623">
        <v>11334838.008078121</v>
      </c>
      <c r="W39" s="623">
        <v>7821164.1903041638</v>
      </c>
      <c r="X39" s="623">
        <v>12966061.093185533</v>
      </c>
      <c r="Y39" s="16"/>
    </row>
    <row r="40" spans="1:25">
      <c r="A40" s="10" t="s">
        <v>832</v>
      </c>
      <c r="B40" s="10" t="s">
        <v>234</v>
      </c>
      <c r="C40" s="617">
        <v>1083312</v>
      </c>
      <c r="D40" s="617">
        <v>1079100</v>
      </c>
      <c r="E40" s="10">
        <f t="shared" ref="E40:E78" si="3">C40-D40</f>
        <v>4212</v>
      </c>
      <c r="F40" s="193">
        <f t="shared" ref="F40:F78" si="4">+RATE((2013-2008),,-D40,C40)</f>
        <v>7.7943455824681452E-4</v>
      </c>
      <c r="I40" s="617">
        <v>21044</v>
      </c>
      <c r="J40" s="801">
        <v>20772</v>
      </c>
      <c r="K40" s="10">
        <v>488910.23553737771</v>
      </c>
      <c r="L40" s="10">
        <v>661644.4967666436</v>
      </c>
      <c r="M40" s="10">
        <v>1368.3230681342429</v>
      </c>
      <c r="N40" s="10">
        <v>40120.50465411086</v>
      </c>
      <c r="O40" s="10">
        <v>75105.899127335899</v>
      </c>
      <c r="P40" s="10">
        <v>106710.26298806653</v>
      </c>
      <c r="Q40" s="10">
        <v>132792.64126104326</v>
      </c>
      <c r="R40" s="10">
        <v>67067.569189915157</v>
      </c>
      <c r="S40" s="10">
        <v>423456.38338110619</v>
      </c>
      <c r="T40" s="10">
        <v>824058.33580659376</v>
      </c>
      <c r="U40" s="10">
        <v>260732.22633020685</v>
      </c>
      <c r="V40" s="10">
        <v>171913.05727975187</v>
      </c>
      <c r="W40" s="10">
        <v>148696.50583890927</v>
      </c>
      <c r="X40" s="10">
        <v>242716.54635772583</v>
      </c>
    </row>
    <row r="41" spans="1:25">
      <c r="A41" s="10" t="s">
        <v>255</v>
      </c>
      <c r="B41" s="10" t="s">
        <v>235</v>
      </c>
      <c r="C41" s="789">
        <v>2006069</v>
      </c>
      <c r="D41" s="789">
        <v>1967299</v>
      </c>
      <c r="E41" s="10">
        <f t="shared" si="3"/>
        <v>38770</v>
      </c>
      <c r="F41" s="193">
        <f t="shared" si="4"/>
        <v>3.9107370072408668E-3</v>
      </c>
      <c r="I41" s="617">
        <v>20164</v>
      </c>
      <c r="J41" s="801">
        <v>19944</v>
      </c>
      <c r="K41" s="10">
        <v>887568.21924771508</v>
      </c>
      <c r="L41" s="10">
        <v>1270111.4046837604</v>
      </c>
      <c r="M41" s="10">
        <v>3879.3365286874991</v>
      </c>
      <c r="N41" s="10">
        <v>51836.869696699847</v>
      </c>
      <c r="O41" s="10">
        <v>143618.02733867857</v>
      </c>
      <c r="P41" s="10">
        <v>207176.40755512469</v>
      </c>
      <c r="Q41" s="10">
        <v>217757.43542460041</v>
      </c>
      <c r="R41" s="10">
        <v>125102.25573212582</v>
      </c>
      <c r="S41" s="10">
        <v>749602.15854447731</v>
      </c>
      <c r="T41" s="10">
        <v>1454800.0702069353</v>
      </c>
      <c r="U41" s="10">
        <v>466781.28281339118</v>
      </c>
      <c r="V41" s="10">
        <v>308615.36819768092</v>
      </c>
      <c r="W41" s="10">
        <v>245849.02520760661</v>
      </c>
      <c r="X41" s="10">
        <v>433554.39398825599</v>
      </c>
    </row>
    <row r="42" spans="1:25">
      <c r="A42" s="10" t="s">
        <v>256</v>
      </c>
      <c r="B42" s="10" t="s">
        <v>236</v>
      </c>
      <c r="C42" s="789">
        <v>1317668</v>
      </c>
      <c r="D42" s="789">
        <v>1230819.99602</v>
      </c>
      <c r="E42" s="10">
        <f t="shared" si="3"/>
        <v>86848.003980000038</v>
      </c>
      <c r="F42" s="193">
        <f t="shared" si="4"/>
        <v>1.3729981596181728E-2</v>
      </c>
      <c r="I42" s="617">
        <v>22160</v>
      </c>
      <c r="J42" s="801">
        <v>21968</v>
      </c>
      <c r="K42" s="10">
        <v>659406.30828331679</v>
      </c>
      <c r="L42" s="10">
        <v>881292.43235991173</v>
      </c>
      <c r="M42" s="10">
        <v>4191.4276688912523</v>
      </c>
      <c r="N42" s="10">
        <v>34376.993545961624</v>
      </c>
      <c r="O42" s="10">
        <v>145673.99640247217</v>
      </c>
      <c r="P42" s="10">
        <v>162499.06672208518</v>
      </c>
      <c r="Q42" s="10">
        <v>142189.5317756864</v>
      </c>
      <c r="R42" s="10">
        <v>82511.963198420883</v>
      </c>
      <c r="S42" s="10">
        <v>571986.99193885562</v>
      </c>
      <c r="T42" s="10">
        <v>927810.5297430323</v>
      </c>
      <c r="U42" s="10">
        <v>216300.85854765336</v>
      </c>
      <c r="V42" s="10">
        <v>185462.73229424036</v>
      </c>
      <c r="W42" s="10">
        <v>162994.94716311261</v>
      </c>
      <c r="X42" s="10">
        <v>363051.99173802597</v>
      </c>
    </row>
    <row r="43" spans="1:25">
      <c r="A43" s="10" t="s">
        <v>71</v>
      </c>
      <c r="B43" s="10" t="s">
        <v>114</v>
      </c>
      <c r="C43" s="789">
        <v>1526016</v>
      </c>
      <c r="D43" s="789">
        <v>1434661</v>
      </c>
      <c r="E43" s="10">
        <f t="shared" si="3"/>
        <v>91355</v>
      </c>
      <c r="F43" s="193">
        <f t="shared" si="4"/>
        <v>1.2422897693864709E-2</v>
      </c>
      <c r="I43" s="617">
        <v>21038</v>
      </c>
      <c r="J43" s="801">
        <v>20822</v>
      </c>
      <c r="K43" s="10">
        <v>727865.7851427627</v>
      </c>
      <c r="L43" s="10">
        <v>991656.13429861132</v>
      </c>
      <c r="M43" s="10">
        <v>7325.3699438355361</v>
      </c>
      <c r="N43" s="10">
        <v>45441.403552481119</v>
      </c>
      <c r="O43" s="10">
        <v>111979.23191798931</v>
      </c>
      <c r="P43" s="10">
        <v>168903.24688862151</v>
      </c>
      <c r="Q43" s="10">
        <v>176655.75647963019</v>
      </c>
      <c r="R43" s="10">
        <v>119651.19488877252</v>
      </c>
      <c r="S43" s="10">
        <v>630082.02478266379</v>
      </c>
      <c r="T43" s="10">
        <v>1105952.5093896203</v>
      </c>
      <c r="U43" s="10">
        <v>303912.00689154718</v>
      </c>
      <c r="V43" s="10">
        <v>277378.9219173672</v>
      </c>
      <c r="W43" s="10">
        <v>192127.89231555743</v>
      </c>
      <c r="X43" s="10">
        <v>332533.68826514756</v>
      </c>
    </row>
    <row r="44" spans="1:25">
      <c r="A44" s="10" t="s">
        <v>257</v>
      </c>
      <c r="B44" s="10" t="s">
        <v>237</v>
      </c>
      <c r="C44" s="789">
        <v>1107398</v>
      </c>
      <c r="D44" s="789">
        <v>1031974</v>
      </c>
      <c r="E44" s="10">
        <f t="shared" si="3"/>
        <v>75424</v>
      </c>
      <c r="F44" s="193">
        <f t="shared" si="4"/>
        <v>1.4207915767669868E-2</v>
      </c>
      <c r="I44" s="617">
        <v>18854</v>
      </c>
      <c r="J44" s="801">
        <v>18626</v>
      </c>
      <c r="K44" s="10">
        <v>489414.41032930999</v>
      </c>
      <c r="L44" s="10">
        <v>700867.90517936961</v>
      </c>
      <c r="M44" s="10">
        <v>5934.1156816732928</v>
      </c>
      <c r="N44" s="10">
        <v>35239.44663070792</v>
      </c>
      <c r="O44" s="10">
        <v>71697.779654073543</v>
      </c>
      <c r="P44" s="10">
        <v>110198.52184630198</v>
      </c>
      <c r="Q44" s="10">
        <v>116842.2404451731</v>
      </c>
      <c r="R44" s="10">
        <v>65111.534551081917</v>
      </c>
      <c r="S44" s="10">
        <v>404095.98050487373</v>
      </c>
      <c r="T44" s="10">
        <v>802793.05303875648</v>
      </c>
      <c r="U44" s="10">
        <v>243171.80177853507</v>
      </c>
      <c r="V44" s="10">
        <v>171184.83927648852</v>
      </c>
      <c r="W44" s="10">
        <v>145184.17531420017</v>
      </c>
      <c r="X44" s="10">
        <v>243252.23666953237</v>
      </c>
    </row>
    <row r="45" spans="1:25">
      <c r="A45" s="10" t="s">
        <v>258</v>
      </c>
      <c r="B45" s="10" t="s">
        <v>238</v>
      </c>
      <c r="C45" s="789">
        <v>1032240</v>
      </c>
      <c r="D45" s="789">
        <v>977449</v>
      </c>
      <c r="E45" s="10">
        <f t="shared" si="3"/>
        <v>54791</v>
      </c>
      <c r="F45" s="193">
        <f t="shared" si="4"/>
        <v>1.0967782039478366E-2</v>
      </c>
      <c r="I45" s="617">
        <v>20694</v>
      </c>
      <c r="J45" s="801">
        <v>20466</v>
      </c>
      <c r="K45" s="10">
        <v>489154.68559040216</v>
      </c>
      <c r="L45" s="10">
        <v>663763.59596035827</v>
      </c>
      <c r="M45" s="10">
        <v>9932.5681178101713</v>
      </c>
      <c r="N45" s="10">
        <v>24047.18391107543</v>
      </c>
      <c r="O45" s="10">
        <v>76549.935702950679</v>
      </c>
      <c r="P45" s="10">
        <v>114643.91484434482</v>
      </c>
      <c r="Q45" s="10">
        <v>115857.82978506146</v>
      </c>
      <c r="R45" s="10">
        <v>95559.820875791338</v>
      </c>
      <c r="S45" s="10">
        <v>436912.85899333237</v>
      </c>
      <c r="T45" s="10">
        <v>718890.95257362409</v>
      </c>
      <c r="U45" s="10">
        <v>198106.68769422849</v>
      </c>
      <c r="V45" s="10">
        <v>176536.93117717886</v>
      </c>
      <c r="W45" s="10">
        <v>124884.2637385237</v>
      </c>
      <c r="X45" s="10">
        <v>219363.06996369277</v>
      </c>
    </row>
    <row r="46" spans="1:25">
      <c r="A46" s="10" t="s">
        <v>259</v>
      </c>
      <c r="B46" s="10" t="s">
        <v>239</v>
      </c>
      <c r="C46" s="789">
        <v>1243597</v>
      </c>
      <c r="D46" s="789">
        <v>1197038</v>
      </c>
      <c r="E46" s="10">
        <f t="shared" si="3"/>
        <v>46559</v>
      </c>
      <c r="F46" s="193">
        <f t="shared" si="4"/>
        <v>7.6607575449912447E-3</v>
      </c>
      <c r="I46" s="617">
        <v>21400</v>
      </c>
      <c r="J46" s="801">
        <v>21162</v>
      </c>
      <c r="K46" s="10">
        <v>591661.98971776501</v>
      </c>
      <c r="L46" s="10">
        <v>792313.92548805731</v>
      </c>
      <c r="M46" s="10">
        <v>4579.4107750112771</v>
      </c>
      <c r="N46" s="10">
        <v>34496.617654712936</v>
      </c>
      <c r="O46" s="10">
        <v>102147.46909717447</v>
      </c>
      <c r="P46" s="10">
        <v>145014.00363179535</v>
      </c>
      <c r="Q46" s="10">
        <v>132805.5311439558</v>
      </c>
      <c r="R46" s="10">
        <v>103796.23364154284</v>
      </c>
      <c r="S46" s="10">
        <v>522772.11396344646</v>
      </c>
      <c r="T46" s="10">
        <v>879512.44513761147</v>
      </c>
      <c r="U46" s="10">
        <v>250177.75560934521</v>
      </c>
      <c r="V46" s="10">
        <v>205781.39774098294</v>
      </c>
      <c r="W46" s="10">
        <v>145310.52504383842</v>
      </c>
      <c r="X46" s="10">
        <v>278242.76674344513</v>
      </c>
    </row>
    <row r="47" spans="1:25">
      <c r="A47" s="10" t="s">
        <v>260</v>
      </c>
      <c r="B47" s="10" t="s">
        <v>240</v>
      </c>
      <c r="C47" s="789">
        <v>1346592</v>
      </c>
      <c r="D47" s="789">
        <v>1266358</v>
      </c>
      <c r="E47" s="10">
        <f t="shared" si="3"/>
        <v>80234</v>
      </c>
      <c r="F47" s="193">
        <f t="shared" si="4"/>
        <v>1.2362166027375141E-2</v>
      </c>
      <c r="I47" s="617">
        <v>21026</v>
      </c>
      <c r="J47" s="801">
        <v>20776</v>
      </c>
      <c r="K47" s="10">
        <v>641569.70642789674</v>
      </c>
      <c r="L47" s="10">
        <v>858690.49318601785</v>
      </c>
      <c r="M47" s="10">
        <v>7380.4084633370821</v>
      </c>
      <c r="N47" s="10">
        <v>32932.843182484452</v>
      </c>
      <c r="O47" s="10">
        <v>101980.09877984914</v>
      </c>
      <c r="P47" s="10">
        <v>156861.27818203991</v>
      </c>
      <c r="Q47" s="10">
        <v>150002.87132908797</v>
      </c>
      <c r="R47" s="10">
        <v>117123.39709059914</v>
      </c>
      <c r="S47" s="10">
        <v>566352.11050303257</v>
      </c>
      <c r="T47" s="10">
        <v>956167.11132974341</v>
      </c>
      <c r="U47" s="10">
        <v>236091.50312260579</v>
      </c>
      <c r="V47" s="10">
        <v>259703.44726062496</v>
      </c>
      <c r="W47" s="10">
        <v>166917.47751711722</v>
      </c>
      <c r="X47" s="10">
        <v>293454.68342939473</v>
      </c>
    </row>
    <row r="48" spans="1:25">
      <c r="A48" s="10" t="s">
        <v>261</v>
      </c>
      <c r="B48" s="10" t="s">
        <v>241</v>
      </c>
      <c r="C48" s="789">
        <v>2603472</v>
      </c>
      <c r="D48" s="789">
        <v>2571940</v>
      </c>
      <c r="E48" s="10">
        <f t="shared" si="3"/>
        <v>31532</v>
      </c>
      <c r="F48" s="193">
        <f t="shared" si="4"/>
        <v>2.4400642942410053E-3</v>
      </c>
      <c r="I48" s="617">
        <v>18292</v>
      </c>
      <c r="J48" s="801">
        <v>18096</v>
      </c>
      <c r="K48" s="10">
        <v>1178341.1942957868</v>
      </c>
      <c r="L48" s="10">
        <v>1688763.6657240093</v>
      </c>
      <c r="M48" s="10">
        <v>6393.3984011965804</v>
      </c>
      <c r="N48" s="10">
        <v>45723.797105882593</v>
      </c>
      <c r="O48" s="10">
        <v>161225.23860177567</v>
      </c>
      <c r="P48" s="10">
        <v>260106.12597358928</v>
      </c>
      <c r="Q48" s="10">
        <v>275474.91385289415</v>
      </c>
      <c r="R48" s="10">
        <v>222324.28456143464</v>
      </c>
      <c r="S48" s="10">
        <v>970336.77443994745</v>
      </c>
      <c r="T48" s="10">
        <v>1821309.1349362843</v>
      </c>
      <c r="U48" s="10">
        <v>624391.96880773571</v>
      </c>
      <c r="V48" s="10">
        <v>434402.11465476884</v>
      </c>
      <c r="W48" s="10">
        <v>292903.55499340018</v>
      </c>
      <c r="X48" s="10">
        <v>469611.49648038141</v>
      </c>
    </row>
    <row r="49" spans="1:24">
      <c r="A49" s="10" t="s">
        <v>262</v>
      </c>
      <c r="B49" s="10" t="s">
        <v>247</v>
      </c>
      <c r="C49" s="789">
        <v>1472589</v>
      </c>
      <c r="D49" s="789">
        <v>1461257</v>
      </c>
      <c r="E49" s="10">
        <f t="shared" si="3"/>
        <v>11332</v>
      </c>
      <c r="F49" s="193">
        <f t="shared" si="4"/>
        <v>1.5462045297382075E-3</v>
      </c>
      <c r="I49" s="617">
        <v>17334</v>
      </c>
      <c r="J49" s="801">
        <v>17102</v>
      </c>
      <c r="K49" s="10">
        <v>644584.07742018392</v>
      </c>
      <c r="L49" s="10">
        <v>934355.7131253432</v>
      </c>
      <c r="M49" s="10">
        <v>6868.1406136480455</v>
      </c>
      <c r="N49" s="10">
        <v>26909.797222022858</v>
      </c>
      <c r="O49" s="10">
        <v>51835.614224538011</v>
      </c>
      <c r="P49" s="10">
        <v>133101.45898561503</v>
      </c>
      <c r="Q49" s="10">
        <v>163964.00422467545</v>
      </c>
      <c r="R49" s="10">
        <v>147183.49200980188</v>
      </c>
      <c r="S49" s="10">
        <v>531127.1297769848</v>
      </c>
      <c r="T49" s="10">
        <v>1068212.7821484441</v>
      </c>
      <c r="U49" s="10">
        <v>396687.41865741217</v>
      </c>
      <c r="V49" s="10">
        <v>289144.21302543924</v>
      </c>
      <c r="W49" s="10">
        <v>177861.01844846611</v>
      </c>
      <c r="X49" s="10">
        <v>204520.13201712855</v>
      </c>
    </row>
    <row r="50" spans="1:24">
      <c r="A50" s="10" t="s">
        <v>263</v>
      </c>
      <c r="B50" s="10" t="s">
        <v>242</v>
      </c>
      <c r="C50" s="789">
        <v>1112815</v>
      </c>
      <c r="D50" s="789">
        <v>1094439</v>
      </c>
      <c r="E50" s="10">
        <f t="shared" si="3"/>
        <v>18376</v>
      </c>
      <c r="F50" s="193">
        <f t="shared" si="4"/>
        <v>3.3357388013761529E-3</v>
      </c>
      <c r="I50" s="617">
        <v>21598</v>
      </c>
      <c r="J50" s="801">
        <v>21388</v>
      </c>
      <c r="K50" s="10">
        <v>547089.31395729457</v>
      </c>
      <c r="L50" s="10">
        <v>736727.83740130032</v>
      </c>
      <c r="M50" s="10">
        <v>3262.2906412707489</v>
      </c>
      <c r="N50" s="10">
        <v>24584.652047747404</v>
      </c>
      <c r="O50" s="10">
        <v>81102.839131652319</v>
      </c>
      <c r="P50" s="10">
        <v>124979.34908395988</v>
      </c>
      <c r="Q50" s="10">
        <v>127040.13298907943</v>
      </c>
      <c r="R50" s="10">
        <v>117746.96659098765</v>
      </c>
      <c r="S50" s="10">
        <v>479134.34613536613</v>
      </c>
      <c r="T50" s="10">
        <v>808286.76917978202</v>
      </c>
      <c r="U50" s="10">
        <v>218847.89865572785</v>
      </c>
      <c r="V50" s="10">
        <v>235158.88017022397</v>
      </c>
      <c r="W50" s="10">
        <v>128301.70826912757</v>
      </c>
      <c r="X50" s="10">
        <v>225978.28208470304</v>
      </c>
    </row>
    <row r="51" spans="1:24">
      <c r="A51" s="10" t="s">
        <v>264</v>
      </c>
      <c r="B51" s="10" t="s">
        <v>243</v>
      </c>
      <c r="C51" s="789">
        <v>1801885</v>
      </c>
      <c r="D51" s="789">
        <v>1708671</v>
      </c>
      <c r="E51" s="10">
        <f t="shared" si="3"/>
        <v>93214</v>
      </c>
      <c r="F51" s="193">
        <f t="shared" si="4"/>
        <v>1.0680122418206393E-2</v>
      </c>
      <c r="I51" s="617">
        <v>21666</v>
      </c>
      <c r="J51" s="801">
        <v>21458</v>
      </c>
      <c r="K51" s="10">
        <v>864714.11788825586</v>
      </c>
      <c r="L51" s="10">
        <v>1169125.6782295704</v>
      </c>
      <c r="M51" s="10">
        <v>5320.6878942096346</v>
      </c>
      <c r="N51" s="10">
        <v>44782.261281779618</v>
      </c>
      <c r="O51" s="10">
        <v>176064.65673700545</v>
      </c>
      <c r="P51" s="10">
        <v>213072.20483953354</v>
      </c>
      <c r="Q51" s="10">
        <v>193099.06261104718</v>
      </c>
      <c r="R51" s="10">
        <v>122131.65040988963</v>
      </c>
      <c r="S51" s="10">
        <v>754066.08955564338</v>
      </c>
      <c r="T51" s="10">
        <v>1244154.7825520178</v>
      </c>
      <c r="U51" s="10">
        <v>347350.12988509546</v>
      </c>
      <c r="V51" s="10">
        <v>245224.20597042667</v>
      </c>
      <c r="W51" s="10">
        <v>203011.48928505409</v>
      </c>
      <c r="X51" s="10">
        <v>448568.95741144189</v>
      </c>
    </row>
    <row r="52" spans="1:24">
      <c r="A52" s="10" t="s">
        <v>265</v>
      </c>
      <c r="B52" s="10" t="s">
        <v>244</v>
      </c>
      <c r="C52" s="789">
        <v>1257920</v>
      </c>
      <c r="D52" s="789">
        <v>1250120</v>
      </c>
      <c r="E52" s="10">
        <f t="shared" si="3"/>
        <v>7800</v>
      </c>
      <c r="F52" s="193">
        <f t="shared" si="4"/>
        <v>1.2447774020454313E-3</v>
      </c>
      <c r="I52" s="617">
        <v>19810</v>
      </c>
      <c r="J52" s="801">
        <v>19596</v>
      </c>
      <c r="K52" s="10">
        <v>577671.18156313733</v>
      </c>
      <c r="L52" s="10">
        <v>800396.42537523375</v>
      </c>
      <c r="M52" s="10">
        <v>4989.6663627136204</v>
      </c>
      <c r="N52" s="10">
        <v>24971.457516270413</v>
      </c>
      <c r="O52" s="10">
        <v>65883.369724093951</v>
      </c>
      <c r="P52" s="10">
        <v>130672.89150990597</v>
      </c>
      <c r="Q52" s="10">
        <v>142702.1264339021</v>
      </c>
      <c r="R52" s="10">
        <v>121553.32416810618</v>
      </c>
      <c r="S52" s="10">
        <v>490078.55990488373</v>
      </c>
      <c r="T52" s="10">
        <v>910659.84289962577</v>
      </c>
      <c r="U52" s="10">
        <v>315832.95036633097</v>
      </c>
      <c r="V52" s="10">
        <v>250596.04367099979</v>
      </c>
      <c r="W52" s="10">
        <v>140611.54420175424</v>
      </c>
      <c r="X52" s="10">
        <v>203619.30466054083</v>
      </c>
    </row>
    <row r="53" spans="1:24">
      <c r="A53" s="10" t="s">
        <v>266</v>
      </c>
      <c r="B53" s="10" t="s">
        <v>245</v>
      </c>
      <c r="C53" s="789">
        <v>1038212</v>
      </c>
      <c r="D53" s="789">
        <v>1007303</v>
      </c>
      <c r="E53" s="10">
        <f t="shared" si="3"/>
        <v>30909</v>
      </c>
      <c r="F53" s="193">
        <f t="shared" si="4"/>
        <v>6.0630142325673866E-3</v>
      </c>
      <c r="I53" s="617">
        <v>20384</v>
      </c>
      <c r="J53" s="801">
        <v>20162</v>
      </c>
      <c r="K53" s="10">
        <v>444865.29372791975</v>
      </c>
      <c r="L53" s="10">
        <v>622052.94549422362</v>
      </c>
      <c r="M53" s="10">
        <v>3163.5618879253666</v>
      </c>
      <c r="N53" s="10">
        <v>38905.711853343259</v>
      </c>
      <c r="O53" s="10">
        <v>50114.305922964719</v>
      </c>
      <c r="P53" s="10">
        <v>97306.44176916343</v>
      </c>
      <c r="Q53" s="10">
        <v>124020.96017328747</v>
      </c>
      <c r="R53" s="10">
        <v>63506.315255787325</v>
      </c>
      <c r="S53" s="10">
        <v>377471.28556055442</v>
      </c>
      <c r="T53" s="10">
        <v>800714.57826169766</v>
      </c>
      <c r="U53" s="10">
        <v>252720.85550536236</v>
      </c>
      <c r="V53" s="10">
        <v>193474.09701447687</v>
      </c>
      <c r="W53" s="10">
        <v>153330.03310236093</v>
      </c>
      <c r="X53" s="10">
        <v>201189.59263949766</v>
      </c>
    </row>
    <row r="54" spans="1:24">
      <c r="A54" s="10" t="s">
        <v>267</v>
      </c>
      <c r="B54" s="10" t="s">
        <v>246</v>
      </c>
      <c r="C54" s="789">
        <v>554374</v>
      </c>
      <c r="D54" s="789">
        <v>540065</v>
      </c>
      <c r="E54" s="10">
        <f t="shared" si="3"/>
        <v>14309</v>
      </c>
      <c r="F54" s="193">
        <f t="shared" si="4"/>
        <v>5.2437096814934728E-3</v>
      </c>
      <c r="I54" s="617">
        <v>18222</v>
      </c>
      <c r="J54" s="801">
        <v>18016</v>
      </c>
      <c r="K54" s="10">
        <v>247120.50894494457</v>
      </c>
      <c r="L54" s="10">
        <v>341631.94374527986</v>
      </c>
      <c r="M54" s="10">
        <v>4477.9656405849082</v>
      </c>
      <c r="N54" s="10">
        <v>19748.277112572003</v>
      </c>
      <c r="O54" s="10">
        <v>25929.238621193574</v>
      </c>
      <c r="P54" s="10">
        <v>51030.080853728985</v>
      </c>
      <c r="Q54" s="10">
        <v>59704.979686070328</v>
      </c>
      <c r="R54" s="10">
        <v>44198.812044407518</v>
      </c>
      <c r="S54" s="10">
        <v>204912.35291371529</v>
      </c>
      <c r="T54" s="10">
        <v>412024.17193665862</v>
      </c>
      <c r="U54" s="10">
        <v>141490.47395561152</v>
      </c>
      <c r="V54" s="10">
        <v>100177.1110665033</v>
      </c>
      <c r="W54" s="10">
        <v>69611.541191076787</v>
      </c>
      <c r="X54" s="10">
        <v>100745.045723467</v>
      </c>
    </row>
    <row r="55" spans="1:24">
      <c r="A55" s="10" t="s">
        <v>833</v>
      </c>
      <c r="B55" s="10" t="s">
        <v>828</v>
      </c>
      <c r="C55" s="617">
        <v>1856267</v>
      </c>
      <c r="D55" s="617">
        <v>1832942</v>
      </c>
      <c r="E55" s="10">
        <f t="shared" si="3"/>
        <v>23325</v>
      </c>
      <c r="F55" s="193">
        <f t="shared" si="4"/>
        <v>2.5322318040018367E-3</v>
      </c>
      <c r="I55" s="789"/>
      <c r="J55" s="801">
        <v>19770</v>
      </c>
      <c r="K55" s="10">
        <v>859732.77029120689</v>
      </c>
      <c r="L55" s="10">
        <v>1176741.4312159426</v>
      </c>
      <c r="M55" s="10">
        <v>733573.77974484884</v>
      </c>
      <c r="N55" s="10">
        <v>734240.51217485894</v>
      </c>
      <c r="O55" s="10">
        <v>8566.116073060688</v>
      </c>
      <c r="P55" s="10">
        <v>40305.74701838175</v>
      </c>
      <c r="Q55" s="10">
        <v>94650.021872529542</v>
      </c>
      <c r="R55" s="10">
        <v>192788.34867740711</v>
      </c>
      <c r="S55" s="10">
        <v>208739.12406306362</v>
      </c>
      <c r="T55" s="10">
        <v>189191.15447041587</v>
      </c>
      <c r="U55" s="10">
        <v>467674.44153515279</v>
      </c>
      <c r="V55" s="10">
        <v>372375.78624762618</v>
      </c>
      <c r="W55" s="10">
        <v>212125.87401537789</v>
      </c>
      <c r="X55" s="10">
        <v>293819.89206092712</v>
      </c>
    </row>
    <row r="56" spans="1:24">
      <c r="A56" s="10" t="s">
        <v>256</v>
      </c>
      <c r="B56" s="10" t="s">
        <v>829</v>
      </c>
      <c r="C56" s="789">
        <v>4076061</v>
      </c>
      <c r="D56" s="789">
        <v>4033197</v>
      </c>
      <c r="E56" s="10">
        <f t="shared" si="3"/>
        <v>42864</v>
      </c>
      <c r="F56" s="193">
        <f t="shared" si="4"/>
        <v>2.1165806392488226E-3</v>
      </c>
      <c r="I56" s="789"/>
      <c r="J56" s="801">
        <v>17710</v>
      </c>
      <c r="K56" s="10">
        <v>1822925.2717159709</v>
      </c>
      <c r="L56" s="10">
        <v>2623119.3788493481</v>
      </c>
      <c r="M56" s="10">
        <v>1501463.9042169312</v>
      </c>
      <c r="N56" s="10">
        <v>1501110.2657770717</v>
      </c>
      <c r="O56" s="10">
        <v>13261.539014844628</v>
      </c>
      <c r="P56" s="10">
        <v>72633.594327905303</v>
      </c>
      <c r="Q56" s="10">
        <v>213060.85282631367</v>
      </c>
      <c r="R56" s="10">
        <v>393207.58495920338</v>
      </c>
      <c r="S56" s="10">
        <v>439438.91807757004</v>
      </c>
      <c r="T56" s="10">
        <v>369507.77657123614</v>
      </c>
      <c r="U56" s="10">
        <v>1021079.3874651471</v>
      </c>
      <c r="V56" s="10">
        <v>723546.32768020651</v>
      </c>
      <c r="W56" s="10">
        <v>470764.57344186609</v>
      </c>
      <c r="X56" s="10">
        <v>674131.62849750964</v>
      </c>
    </row>
    <row r="57" spans="1:24">
      <c r="A57" s="10" t="s">
        <v>834</v>
      </c>
      <c r="B57" s="10" t="s">
        <v>506</v>
      </c>
      <c r="C57" s="789">
        <v>1872949</v>
      </c>
      <c r="D57" s="789">
        <v>1843053</v>
      </c>
      <c r="E57" s="10">
        <f t="shared" si="3"/>
        <v>29896</v>
      </c>
      <c r="F57" s="193">
        <f t="shared" si="4"/>
        <v>3.223335471743089E-3</v>
      </c>
      <c r="I57" s="789"/>
      <c r="J57" s="801">
        <v>21506</v>
      </c>
      <c r="K57" s="10">
        <v>912469.34676739748</v>
      </c>
      <c r="L57" s="10">
        <v>1224536.4442967882</v>
      </c>
      <c r="M57" s="10">
        <v>793125.73364889366</v>
      </c>
      <c r="N57" s="10">
        <v>792415.09254002769</v>
      </c>
      <c r="O57" s="10">
        <v>6217.4826375732009</v>
      </c>
      <c r="P57" s="10">
        <v>40928.712541876608</v>
      </c>
      <c r="Q57" s="10">
        <v>123834.59248773925</v>
      </c>
      <c r="R57" s="10">
        <v>206360.67958348332</v>
      </c>
      <c r="S57" s="10">
        <v>213169.8719028605</v>
      </c>
      <c r="T57" s="10">
        <v>201903.75338649494</v>
      </c>
      <c r="U57" s="10">
        <v>385649.32170709269</v>
      </c>
      <c r="V57" s="10">
        <v>409528.45980068023</v>
      </c>
      <c r="W57" s="10">
        <v>217604.49773180857</v>
      </c>
      <c r="X57" s="10">
        <v>361799.48413682729</v>
      </c>
    </row>
    <row r="58" spans="1:24">
      <c r="A58" s="10" t="s">
        <v>835</v>
      </c>
      <c r="B58" s="10" t="s">
        <v>510</v>
      </c>
      <c r="C58" s="789">
        <v>3690833</v>
      </c>
      <c r="D58" s="789">
        <v>3539048</v>
      </c>
      <c r="E58" s="10">
        <f t="shared" si="3"/>
        <v>151785</v>
      </c>
      <c r="F58" s="193">
        <f t="shared" si="4"/>
        <v>8.4342522491178702E-3</v>
      </c>
      <c r="I58" s="789"/>
      <c r="J58" s="801">
        <v>19682</v>
      </c>
      <c r="K58" s="10">
        <v>1717394.9004773197</v>
      </c>
      <c r="L58" s="10">
        <v>2291383.5547721749</v>
      </c>
      <c r="M58" s="10">
        <v>1514055.1300274134</v>
      </c>
      <c r="N58" s="10">
        <v>1514966.3819079639</v>
      </c>
      <c r="O58" s="10">
        <v>38430.780503901951</v>
      </c>
      <c r="P58" s="10">
        <v>91167.937711289735</v>
      </c>
      <c r="Q58" s="10">
        <v>204278.9020111672</v>
      </c>
      <c r="R58" s="10">
        <v>383374.735007032</v>
      </c>
      <c r="S58" s="10">
        <v>409014.92287631141</v>
      </c>
      <c r="T58" s="10">
        <v>388699.10379826184</v>
      </c>
      <c r="U58" s="10">
        <v>810713.74399553321</v>
      </c>
      <c r="V58" s="10">
        <v>751733.68755896552</v>
      </c>
      <c r="W58" s="10">
        <v>444474.22217605892</v>
      </c>
      <c r="X58" s="10">
        <v>660521.01281776605</v>
      </c>
    </row>
    <row r="59" spans="1:24">
      <c r="A59" s="10" t="s">
        <v>836</v>
      </c>
      <c r="B59" s="10" t="s">
        <v>508</v>
      </c>
      <c r="C59" s="789">
        <v>3276543</v>
      </c>
      <c r="D59" s="789">
        <v>3175064</v>
      </c>
      <c r="E59" s="10">
        <f t="shared" si="3"/>
        <v>101479</v>
      </c>
      <c r="F59" s="193">
        <f t="shared" si="4"/>
        <v>6.3120603289815082E-3</v>
      </c>
      <c r="I59" s="789"/>
      <c r="J59" s="801">
        <v>19922</v>
      </c>
      <c r="K59" s="10">
        <v>1475638.3187211151</v>
      </c>
      <c r="L59" s="10">
        <v>2025461.5436567625</v>
      </c>
      <c r="M59" s="10">
        <v>1302058.6841410901</v>
      </c>
      <c r="N59" s="10">
        <v>1301210.3987056063</v>
      </c>
      <c r="O59" s="10">
        <v>36804.927740435458</v>
      </c>
      <c r="P59" s="10">
        <v>86238.776929999265</v>
      </c>
      <c r="Q59" s="10">
        <v>181369.09380610613</v>
      </c>
      <c r="R59" s="10">
        <v>329439.88658326201</v>
      </c>
      <c r="S59" s="10">
        <v>359735.96578438225</v>
      </c>
      <c r="T59" s="10">
        <v>307621.74786142143</v>
      </c>
      <c r="U59" s="10">
        <v>685986.35282059282</v>
      </c>
      <c r="V59" s="10">
        <v>639006.5819371494</v>
      </c>
      <c r="W59" s="10">
        <v>433560.43458163174</v>
      </c>
      <c r="X59" s="10">
        <v>642418.00119597209</v>
      </c>
    </row>
    <row r="60" spans="1:24">
      <c r="A60" s="10" t="s">
        <v>73</v>
      </c>
      <c r="B60" s="10" t="s">
        <v>74</v>
      </c>
      <c r="C60" s="789">
        <v>3343326</v>
      </c>
      <c r="D60" s="789">
        <v>3206137</v>
      </c>
      <c r="E60" s="10">
        <f t="shared" si="3"/>
        <v>137189</v>
      </c>
      <c r="F60" s="193">
        <f t="shared" si="4"/>
        <v>8.4150762118825693E-3</v>
      </c>
      <c r="I60" s="789"/>
      <c r="J60" s="801">
        <v>19954</v>
      </c>
      <c r="K60" s="10">
        <v>1533288.8862898443</v>
      </c>
      <c r="L60" s="10">
        <v>2089197.1228057828</v>
      </c>
      <c r="M60" s="10">
        <v>1329284.2374183012</v>
      </c>
      <c r="N60" s="10">
        <v>1330353.0909030053</v>
      </c>
      <c r="O60" s="10">
        <v>31495.48432778873</v>
      </c>
      <c r="P60" s="10">
        <v>105836.61529173868</v>
      </c>
      <c r="Q60" s="10">
        <v>189561.06643639551</v>
      </c>
      <c r="R60" s="10">
        <v>339240.55715442449</v>
      </c>
      <c r="S60" s="10">
        <v>384152.22518465726</v>
      </c>
      <c r="T60" s="10">
        <v>280067.14250800095</v>
      </c>
      <c r="U60" s="10">
        <v>744676.88658764947</v>
      </c>
      <c r="V60" s="10">
        <v>666893.16011656483</v>
      </c>
      <c r="W60" s="10">
        <v>435348.83296074433</v>
      </c>
      <c r="X60" s="10">
        <v>663045.13399910741</v>
      </c>
    </row>
    <row r="61" spans="1:24">
      <c r="A61" s="10" t="s">
        <v>837</v>
      </c>
      <c r="B61" s="10" t="s">
        <v>509</v>
      </c>
      <c r="C61" s="789">
        <v>2979161</v>
      </c>
      <c r="D61" s="789">
        <v>2862706.99602</v>
      </c>
      <c r="E61" s="10">
        <f t="shared" si="3"/>
        <v>116454.00398000004</v>
      </c>
      <c r="F61" s="193">
        <f t="shared" si="4"/>
        <v>8.0066910698472511E-3</v>
      </c>
      <c r="I61" s="789"/>
      <c r="J61" s="801">
        <v>19804</v>
      </c>
      <c r="K61" s="10">
        <v>1386280.6756926186</v>
      </c>
      <c r="L61" s="10">
        <v>1869911.9222093162</v>
      </c>
      <c r="M61" s="10">
        <v>1204380.9146647647</v>
      </c>
      <c r="N61" s="10">
        <v>1201471.1058027018</v>
      </c>
      <c r="O61" s="10">
        <v>36926.521841690606</v>
      </c>
      <c r="P61" s="10">
        <v>90560.849954041812</v>
      </c>
      <c r="Q61" s="10">
        <v>212722.29771729244</v>
      </c>
      <c r="R61" s="10">
        <v>316411.46379860502</v>
      </c>
      <c r="S61" s="10">
        <v>327475.08504532144</v>
      </c>
      <c r="T61" s="10">
        <v>217374.88744574939</v>
      </c>
      <c r="U61" s="10">
        <v>643257.55812770477</v>
      </c>
      <c r="V61" s="10">
        <v>520812.81246619404</v>
      </c>
      <c r="W61" s="10">
        <v>390741.37929175375</v>
      </c>
      <c r="X61" s="10">
        <v>656073.47633920563</v>
      </c>
    </row>
    <row r="62" spans="1:24">
      <c r="A62" s="10" t="s">
        <v>838</v>
      </c>
      <c r="B62" s="10" t="s">
        <v>830</v>
      </c>
      <c r="C62" s="789">
        <v>6460505</v>
      </c>
      <c r="D62" s="789">
        <v>6174040</v>
      </c>
      <c r="E62" s="10">
        <f t="shared" si="3"/>
        <v>286465</v>
      </c>
      <c r="F62" s="193">
        <f t="shared" si="4"/>
        <v>9.112081185240397E-3</v>
      </c>
      <c r="I62" s="789"/>
      <c r="J62" s="801">
        <v>20972</v>
      </c>
      <c r="K62" s="10">
        <v>3077366.6704270844</v>
      </c>
      <c r="L62" s="10">
        <v>4101375.5325770951</v>
      </c>
      <c r="M62" s="10">
        <v>2709164.0200529494</v>
      </c>
      <c r="N62" s="10">
        <v>2709141.517235877</v>
      </c>
      <c r="O62" s="10">
        <v>32146.176305941834</v>
      </c>
      <c r="P62" s="10">
        <v>186983.19736932041</v>
      </c>
      <c r="Q62" s="10">
        <v>474443.9217894036</v>
      </c>
      <c r="R62" s="10">
        <v>741812.0055713366</v>
      </c>
      <c r="S62" s="10">
        <v>714849.17494713084</v>
      </c>
      <c r="T62" s="10">
        <v>558907.04125273472</v>
      </c>
      <c r="U62" s="10">
        <v>1357029.2364281134</v>
      </c>
      <c r="V62" s="10">
        <v>1112982.5539441626</v>
      </c>
      <c r="W62" s="10">
        <v>781951.06217826775</v>
      </c>
      <c r="X62" s="10">
        <v>1387495.6161968268</v>
      </c>
    </row>
    <row r="63" spans="1:24">
      <c r="A63" s="10" t="s">
        <v>839</v>
      </c>
      <c r="B63" s="10" t="s">
        <v>287</v>
      </c>
      <c r="C63" s="789">
        <v>2751592</v>
      </c>
      <c r="D63" s="789">
        <v>2610890</v>
      </c>
      <c r="E63" s="10">
        <f t="shared" si="3"/>
        <v>140702</v>
      </c>
      <c r="F63" s="193">
        <f t="shared" si="4"/>
        <v>1.0552992935360835E-2</v>
      </c>
      <c r="I63" s="789"/>
      <c r="J63" s="801">
        <v>18052</v>
      </c>
      <c r="K63" s="10">
        <v>1186884.9342667318</v>
      </c>
      <c r="L63" s="10">
        <v>1692740.8669452933</v>
      </c>
      <c r="M63" s="10">
        <v>977154.16102605883</v>
      </c>
      <c r="N63" s="10">
        <v>979532.59054095659</v>
      </c>
      <c r="O63" s="10">
        <v>21229.398582510526</v>
      </c>
      <c r="P63" s="10">
        <v>89541.550759856225</v>
      </c>
      <c r="Q63" s="10">
        <v>139907.64964693686</v>
      </c>
      <c r="R63" s="10">
        <v>258681.0675931212</v>
      </c>
      <c r="S63" s="10">
        <v>293336.83349079057</v>
      </c>
      <c r="T63" s="10">
        <v>176836.09046774133</v>
      </c>
      <c r="U63" s="10">
        <v>667589.18071146251</v>
      </c>
      <c r="V63" s="10">
        <v>473168.64225127437</v>
      </c>
      <c r="W63" s="10">
        <v>368042.8252822003</v>
      </c>
      <c r="X63" s="10">
        <v>536488.83840151411</v>
      </c>
    </row>
    <row r="64" spans="1:24">
      <c r="A64" s="10" t="s">
        <v>840</v>
      </c>
      <c r="B64" s="10" t="s">
        <v>831</v>
      </c>
      <c r="C64" s="789">
        <v>4983438</v>
      </c>
      <c r="D64" s="789">
        <v>4889053</v>
      </c>
      <c r="E64" s="10">
        <f t="shared" si="3"/>
        <v>94385</v>
      </c>
      <c r="F64" s="193">
        <f t="shared" si="4"/>
        <v>3.831599900250793E-3</v>
      </c>
      <c r="I64" s="789"/>
      <c r="J64" s="801">
        <v>19862</v>
      </c>
      <c r="K64" s="10">
        <v>2203266.8013203423</v>
      </c>
      <c r="L64" s="10">
        <v>3077173.0973284408</v>
      </c>
      <c r="M64" s="10">
        <v>1873464.698320365</v>
      </c>
      <c r="N64" s="10">
        <v>1872907.7074983316</v>
      </c>
      <c r="O64" s="10">
        <v>16561.111157758642</v>
      </c>
      <c r="P64" s="10">
        <v>162159.81099790405</v>
      </c>
      <c r="Q64" s="10">
        <v>307278.33592478978</v>
      </c>
      <c r="R64" s="10">
        <v>493743.12821752275</v>
      </c>
      <c r="S64" s="10">
        <v>570475.94755616062</v>
      </c>
      <c r="T64" s="10">
        <v>322689.37364419544</v>
      </c>
      <c r="U64" s="10">
        <v>1191101.8919155223</v>
      </c>
      <c r="V64" s="10">
        <v>833819.21305273753</v>
      </c>
      <c r="W64" s="10">
        <v>660072.17076159094</v>
      </c>
      <c r="X64" s="10">
        <v>1038223.7070187514</v>
      </c>
    </row>
    <row r="65" spans="1:24">
      <c r="A65" s="10" t="s">
        <v>1424</v>
      </c>
      <c r="B65" s="10" t="s">
        <v>871</v>
      </c>
      <c r="C65" s="686">
        <v>12027565</v>
      </c>
      <c r="D65" s="686">
        <v>11728240</v>
      </c>
      <c r="E65" s="788">
        <f t="shared" si="3"/>
        <v>299325</v>
      </c>
      <c r="F65" s="193">
        <f t="shared" si="4"/>
        <v>5.0530216854106462E-3</v>
      </c>
      <c r="I65" s="789">
        <v>23188</v>
      </c>
      <c r="J65" s="801">
        <v>23022</v>
      </c>
      <c r="K65" s="10">
        <v>6086894.8062355015</v>
      </c>
      <c r="L65" s="10">
        <v>7994474.2897072081</v>
      </c>
      <c r="M65" s="10">
        <v>5218.466537991947</v>
      </c>
      <c r="N65" s="10">
        <v>263588.11758588621</v>
      </c>
      <c r="O65" s="10">
        <v>1575472.4681615522</v>
      </c>
      <c r="P65" s="10">
        <v>1401073.6562329701</v>
      </c>
      <c r="Q65" s="10">
        <v>1375833.0342533626</v>
      </c>
      <c r="R65" s="10">
        <v>697000.1555911093</v>
      </c>
      <c r="S65" s="10">
        <v>5319058.3132277373</v>
      </c>
      <c r="T65" s="10">
        <v>8371211.485947744</v>
      </c>
      <c r="U65" s="10">
        <v>2276566.3453874495</v>
      </c>
      <c r="V65" s="10">
        <v>1395168.3585854664</v>
      </c>
      <c r="W65" s="10">
        <v>1389973.3725829574</v>
      </c>
      <c r="X65" s="10">
        <v>3309503.4093918689</v>
      </c>
    </row>
    <row r="66" spans="1:24">
      <c r="A66" s="10" t="s">
        <v>1425</v>
      </c>
      <c r="B66" s="10" t="s">
        <v>888</v>
      </c>
      <c r="C66" s="790">
        <v>2577435</v>
      </c>
      <c r="D66" s="790">
        <v>2538590</v>
      </c>
      <c r="E66" s="788">
        <f t="shared" si="3"/>
        <v>38845</v>
      </c>
      <c r="F66" s="193">
        <f t="shared" si="4"/>
        <v>3.0417988241712153E-3</v>
      </c>
      <c r="I66" s="789">
        <v>20268</v>
      </c>
      <c r="J66" s="801">
        <v>20080</v>
      </c>
      <c r="K66" s="10">
        <v>1179485.9955951078</v>
      </c>
      <c r="L66" s="10">
        <v>1585351.3272974619</v>
      </c>
      <c r="M66" s="10">
        <v>20604.345721555899</v>
      </c>
      <c r="N66" s="10">
        <v>61804.951292769569</v>
      </c>
      <c r="O66" s="10">
        <v>137077.6055054896</v>
      </c>
      <c r="P66" s="10">
        <v>264308.37707017211</v>
      </c>
      <c r="Q66" s="10">
        <v>294954.48320346518</v>
      </c>
      <c r="R66" s="10">
        <v>250111.28434709299</v>
      </c>
      <c r="S66" s="10">
        <v>1028381.1806766489</v>
      </c>
      <c r="T66" s="10">
        <v>1913570.4356858262</v>
      </c>
      <c r="U66" s="10">
        <v>638914.53380022198</v>
      </c>
      <c r="V66" s="10">
        <v>532579.859811306</v>
      </c>
      <c r="W66" s="10">
        <v>306062.48730272695</v>
      </c>
      <c r="X66" s="10">
        <v>436013.55477156892</v>
      </c>
    </row>
    <row r="67" spans="1:24">
      <c r="A67" s="10" t="s">
        <v>1426</v>
      </c>
      <c r="B67" s="10" t="s">
        <v>1423</v>
      </c>
      <c r="C67" s="790">
        <v>2820623</v>
      </c>
      <c r="D67" s="790">
        <v>2810648</v>
      </c>
      <c r="E67" s="788">
        <f t="shared" si="3"/>
        <v>9975</v>
      </c>
      <c r="F67" s="193">
        <f t="shared" si="4"/>
        <v>7.0879523541878887E-4</v>
      </c>
      <c r="I67" s="789">
        <v>20030</v>
      </c>
      <c r="J67" s="801">
        <v>19774</v>
      </c>
      <c r="K67" s="10">
        <v>1283981.4474681723</v>
      </c>
      <c r="L67" s="10">
        <v>1743697.8678971783</v>
      </c>
      <c r="M67" s="10">
        <v>28447.532951085264</v>
      </c>
      <c r="N67" s="10">
        <v>70332.278800237691</v>
      </c>
      <c r="O67" s="10">
        <v>134213.11834120247</v>
      </c>
      <c r="P67" s="10">
        <v>280061.4050939437</v>
      </c>
      <c r="Q67" s="10">
        <v>309076.08373549132</v>
      </c>
      <c r="R67" s="10">
        <v>297420.57696230296</v>
      </c>
      <c r="S67" s="10">
        <v>1120851.9410527507</v>
      </c>
      <c r="T67" s="10">
        <v>2109087.1991074583</v>
      </c>
      <c r="U67" s="10">
        <v>711301.79765253258</v>
      </c>
      <c r="V67" s="10">
        <v>591093.95265471132</v>
      </c>
      <c r="W67" s="10">
        <v>336160.09097877529</v>
      </c>
      <c r="X67" s="10">
        <v>470531.35782143736</v>
      </c>
    </row>
    <row r="68" spans="1:24">
      <c r="A68" s="10" t="s">
        <v>1411</v>
      </c>
      <c r="B68" s="10" t="s">
        <v>1405</v>
      </c>
      <c r="C68" s="790">
        <v>3335645</v>
      </c>
      <c r="D68" s="790">
        <v>3303822</v>
      </c>
      <c r="E68" s="788">
        <f t="shared" si="3"/>
        <v>31823</v>
      </c>
      <c r="F68" s="193">
        <f t="shared" si="4"/>
        <v>1.9190558052544981E-3</v>
      </c>
      <c r="I68" s="789">
        <v>19690</v>
      </c>
      <c r="J68" s="801">
        <v>19438</v>
      </c>
      <c r="K68" s="10">
        <v>1520594.3944250012</v>
      </c>
      <c r="L68" s="10">
        <v>2086512.0479989853</v>
      </c>
      <c r="M68" s="10">
        <v>26946.120075217172</v>
      </c>
      <c r="N68" s="10">
        <v>79777.248543269729</v>
      </c>
      <c r="O68" s="10">
        <v>159833.44424119717</v>
      </c>
      <c r="P68" s="10">
        <v>331787.07041181409</v>
      </c>
      <c r="Q68" s="10">
        <v>376016.78497499367</v>
      </c>
      <c r="R68" s="10">
        <v>337643.73425072816</v>
      </c>
      <c r="S68" s="10">
        <v>1312083.1382945571</v>
      </c>
      <c r="T68" s="10">
        <v>2445552.4621653105</v>
      </c>
      <c r="U68" s="10">
        <v>859019.42240067688</v>
      </c>
      <c r="V68" s="10">
        <v>681016.60888100823</v>
      </c>
      <c r="W68" s="10">
        <v>381756.98865093524</v>
      </c>
      <c r="X68" s="10">
        <v>523759.4422326925</v>
      </c>
    </row>
    <row r="69" spans="1:24">
      <c r="A69" s="10" t="s">
        <v>1412</v>
      </c>
      <c r="B69" s="10" t="s">
        <v>1404</v>
      </c>
      <c r="C69" s="790">
        <v>6006156</v>
      </c>
      <c r="D69" s="790">
        <v>5944354</v>
      </c>
      <c r="E69" s="788">
        <f t="shared" si="3"/>
        <v>61802</v>
      </c>
      <c r="F69" s="193">
        <f t="shared" si="4"/>
        <v>2.0707574135087757E-3</v>
      </c>
      <c r="I69" s="789">
        <v>18416</v>
      </c>
      <c r="J69" s="801">
        <v>18202</v>
      </c>
      <c r="K69" s="10">
        <v>2715006.6177932741</v>
      </c>
      <c r="L69" s="10">
        <v>3854292.3869468328</v>
      </c>
      <c r="M69" s="10">
        <v>25255.004418218134</v>
      </c>
      <c r="N69" s="10">
        <v>112602.7954743022</v>
      </c>
      <c r="O69" s="10">
        <v>305409.93190864258</v>
      </c>
      <c r="P69" s="10">
        <v>584267.64072209364</v>
      </c>
      <c r="Q69" s="10">
        <v>658793.89715322468</v>
      </c>
      <c r="R69" s="10">
        <v>569020.70784471999</v>
      </c>
      <c r="S69" s="10">
        <v>2255365.439090752</v>
      </c>
      <c r="T69" s="10">
        <v>4288289.1522469511</v>
      </c>
      <c r="U69" s="10">
        <v>1542057.6555549176</v>
      </c>
      <c r="V69" s="10">
        <v>1090777.0230497674</v>
      </c>
      <c r="W69" s="10">
        <v>688731.52259200439</v>
      </c>
      <c r="X69" s="10">
        <v>966722.95105026197</v>
      </c>
    </row>
    <row r="70" spans="1:24">
      <c r="A70" s="10" t="s">
        <v>260</v>
      </c>
      <c r="B70" s="10" t="s">
        <v>1403</v>
      </c>
      <c r="C70" s="790">
        <v>5554645</v>
      </c>
      <c r="D70" s="790">
        <v>5531118</v>
      </c>
      <c r="E70" s="788">
        <f t="shared" si="3"/>
        <v>23527</v>
      </c>
      <c r="F70" s="193">
        <f t="shared" si="4"/>
        <v>8.4927034126289355E-4</v>
      </c>
      <c r="I70" s="789">
        <v>20280</v>
      </c>
      <c r="J70" s="801">
        <v>20056</v>
      </c>
      <c r="K70" s="10">
        <v>2608367.8804361476</v>
      </c>
      <c r="L70" s="10">
        <v>3577030.3092964818</v>
      </c>
      <c r="M70" s="10">
        <v>35775.868519957796</v>
      </c>
      <c r="N70" s="10">
        <v>118096.95074939739</v>
      </c>
      <c r="O70" s="10">
        <v>300805.37131352362</v>
      </c>
      <c r="P70" s="10">
        <v>565283.19967288768</v>
      </c>
      <c r="Q70" s="10">
        <v>644136.0148636268</v>
      </c>
      <c r="R70" s="10">
        <v>574446.83074266452</v>
      </c>
      <c r="S70" s="10">
        <v>2241859.028796203</v>
      </c>
      <c r="T70" s="10">
        <v>4102717.1498119649</v>
      </c>
      <c r="U70" s="10">
        <v>1313487.5948397429</v>
      </c>
      <c r="V70" s="10">
        <v>1179673.8697190187</v>
      </c>
      <c r="W70" s="10">
        <v>651423.60392904014</v>
      </c>
      <c r="X70" s="10">
        <v>958132.08132415661</v>
      </c>
    </row>
    <row r="71" spans="1:24">
      <c r="A71" s="10" t="s">
        <v>835</v>
      </c>
      <c r="B71" s="10" t="s">
        <v>510</v>
      </c>
      <c r="C71" s="790">
        <v>3690833</v>
      </c>
      <c r="D71" s="790">
        <v>3539048</v>
      </c>
      <c r="E71" s="788">
        <f t="shared" si="3"/>
        <v>151785</v>
      </c>
      <c r="F71" s="193">
        <f t="shared" si="4"/>
        <v>8.4342522491178702E-3</v>
      </c>
      <c r="I71" s="789">
        <v>19942</v>
      </c>
      <c r="J71" s="801">
        <v>19682</v>
      </c>
      <c r="K71" s="10">
        <v>1717394.9004773197</v>
      </c>
      <c r="L71" s="10">
        <v>2291383.5547721749</v>
      </c>
      <c r="M71" s="10">
        <v>38430.780503901951</v>
      </c>
      <c r="N71" s="10">
        <v>91167.937711289735</v>
      </c>
      <c r="O71" s="10">
        <v>204278.9020111672</v>
      </c>
      <c r="P71" s="10">
        <v>383374.735007032</v>
      </c>
      <c r="Q71" s="10">
        <v>409014.92287631141</v>
      </c>
      <c r="R71" s="10">
        <v>388699.10379826184</v>
      </c>
      <c r="S71" s="10">
        <v>1514055.1300274134</v>
      </c>
      <c r="T71" s="10">
        <v>2667442.666548328</v>
      </c>
      <c r="U71" s="10">
        <v>810713.74399553321</v>
      </c>
      <c r="V71" s="10">
        <v>751733.68755896552</v>
      </c>
      <c r="W71" s="10">
        <v>444474.22217605892</v>
      </c>
      <c r="X71" s="10">
        <v>660521.01281776605</v>
      </c>
    </row>
    <row r="72" spans="1:24">
      <c r="A72" s="10" t="s">
        <v>836</v>
      </c>
      <c r="B72" s="10" t="s">
        <v>508</v>
      </c>
      <c r="C72" s="790">
        <v>3276543</v>
      </c>
      <c r="D72" s="790">
        <v>3175064</v>
      </c>
      <c r="E72" s="788">
        <f t="shared" si="3"/>
        <v>101479</v>
      </c>
      <c r="F72" s="193">
        <f t="shared" si="4"/>
        <v>6.3120603289815082E-3</v>
      </c>
      <c r="I72" s="789">
        <v>20170</v>
      </c>
      <c r="J72" s="801">
        <v>19922</v>
      </c>
      <c r="K72" s="10">
        <v>1475638.3187211151</v>
      </c>
      <c r="L72" s="10">
        <v>2025461.5436567625</v>
      </c>
      <c r="M72" s="10">
        <v>36804.927740435458</v>
      </c>
      <c r="N72" s="10">
        <v>86238.776929999265</v>
      </c>
      <c r="O72" s="10">
        <v>181369.09380610613</v>
      </c>
      <c r="P72" s="10">
        <v>329439.88658326201</v>
      </c>
      <c r="Q72" s="10">
        <v>359735.96578438225</v>
      </c>
      <c r="R72" s="10">
        <v>307621.74786142143</v>
      </c>
      <c r="S72" s="10">
        <v>1302058.6841410901</v>
      </c>
      <c r="T72" s="10">
        <v>2400971.3705353462</v>
      </c>
      <c r="U72" s="10">
        <v>685986.35282059282</v>
      </c>
      <c r="V72" s="10">
        <v>639006.5819371494</v>
      </c>
      <c r="W72" s="10">
        <v>433560.43458163174</v>
      </c>
      <c r="X72" s="10">
        <v>642418.00119597209</v>
      </c>
    </row>
    <row r="73" spans="1:24">
      <c r="A73" s="10" t="s">
        <v>1413</v>
      </c>
      <c r="B73" s="10" t="s">
        <v>1406</v>
      </c>
      <c r="C73" s="790">
        <v>5879144</v>
      </c>
      <c r="D73" s="790">
        <v>5708497</v>
      </c>
      <c r="E73" s="788">
        <f t="shared" si="3"/>
        <v>170647</v>
      </c>
      <c r="F73" s="193">
        <f t="shared" si="4"/>
        <v>5.9084678404386741E-3</v>
      </c>
      <c r="I73" s="789">
        <v>19806</v>
      </c>
      <c r="J73" s="801">
        <v>19572</v>
      </c>
      <c r="K73" s="10">
        <v>2658977.1800734187</v>
      </c>
      <c r="L73" s="10">
        <v>3627542.4863822255</v>
      </c>
      <c r="M73" s="10">
        <v>66453.962180488685</v>
      </c>
      <c r="N73" s="10">
        <v>175950.43548200474</v>
      </c>
      <c r="O73" s="10">
        <v>304657.21880918497</v>
      </c>
      <c r="P73" s="10">
        <v>576040.63459035044</v>
      </c>
      <c r="Q73" s="10">
        <v>674646.33955088374</v>
      </c>
      <c r="R73" s="10">
        <v>510698.52408263221</v>
      </c>
      <c r="S73" s="10">
        <v>2309298.3609901909</v>
      </c>
      <c r="T73" s="10">
        <v>4442667.1309880912</v>
      </c>
      <c r="U73" s="10">
        <v>1392888.6928666581</v>
      </c>
      <c r="V73" s="10">
        <v>1203352.2032536727</v>
      </c>
      <c r="W73" s="10">
        <v>759132.21005662344</v>
      </c>
      <c r="X73" s="10">
        <v>1087294.0248111389</v>
      </c>
    </row>
    <row r="74" spans="1:24">
      <c r="A74" s="10" t="s">
        <v>265</v>
      </c>
      <c r="B74" s="10" t="s">
        <v>1407</v>
      </c>
      <c r="C74" s="790">
        <v>5730753</v>
      </c>
      <c r="D74" s="790">
        <v>5473596.9960200004</v>
      </c>
      <c r="E74" s="788">
        <f t="shared" si="3"/>
        <v>257156.00397999957</v>
      </c>
      <c r="F74" s="193">
        <f t="shared" si="4"/>
        <v>9.2244754863989725E-3</v>
      </c>
      <c r="I74" s="789">
        <v>19192</v>
      </c>
      <c r="J74" s="801">
        <v>18972</v>
      </c>
      <c r="K74" s="10">
        <v>2573165.609959343</v>
      </c>
      <c r="L74" s="10">
        <v>3562652.789154605</v>
      </c>
      <c r="M74" s="10">
        <v>58155.920424201096</v>
      </c>
      <c r="N74" s="10">
        <v>180102.40071389824</v>
      </c>
      <c r="O74" s="10">
        <v>352629.94736422953</v>
      </c>
      <c r="P74" s="10">
        <v>575092.53139172494</v>
      </c>
      <c r="Q74" s="10">
        <v>620811.91853611066</v>
      </c>
      <c r="R74" s="10">
        <v>394210.97791349143</v>
      </c>
      <c r="S74" s="10">
        <v>2181535.0756908185</v>
      </c>
      <c r="T74" s="10">
        <v>4256174.7128713066</v>
      </c>
      <c r="U74" s="10">
        <v>1310846.7388391667</v>
      </c>
      <c r="V74" s="10">
        <v>993981.45471746649</v>
      </c>
      <c r="W74" s="10">
        <v>758784.20457395469</v>
      </c>
      <c r="X74" s="10">
        <v>1192562.3147407183</v>
      </c>
    </row>
    <row r="75" spans="1:24">
      <c r="A75" s="10" t="s">
        <v>267</v>
      </c>
      <c r="B75" s="10" t="s">
        <v>1402</v>
      </c>
      <c r="C75" s="790">
        <v>7820966</v>
      </c>
      <c r="D75" s="790">
        <v>7518004</v>
      </c>
      <c r="E75" s="788">
        <f t="shared" si="3"/>
        <v>302962</v>
      </c>
      <c r="F75" s="193">
        <f t="shared" si="4"/>
        <v>7.9327789020852326E-3</v>
      </c>
      <c r="I75" s="789">
        <v>20890</v>
      </c>
      <c r="J75" s="801">
        <v>20622</v>
      </c>
      <c r="K75" s="10">
        <v>3690874.5932653216</v>
      </c>
      <c r="L75" s="10">
        <v>4941368.5387371574</v>
      </c>
      <c r="M75" s="10">
        <v>53731.525649235147</v>
      </c>
      <c r="N75" s="10">
        <v>224999.77197571681</v>
      </c>
      <c r="O75" s="10">
        <v>540270.09340653196</v>
      </c>
      <c r="P75" s="10">
        <v>870746.7527126394</v>
      </c>
      <c r="Q75" s="10">
        <v>872741.58666066814</v>
      </c>
      <c r="R75" s="10">
        <v>687966.91283705004</v>
      </c>
      <c r="S75" s="10">
        <v>3249765.1710739681</v>
      </c>
      <c r="T75" s="10">
        <v>5672703.0320754079</v>
      </c>
      <c r="U75" s="10">
        <v>1698760.559428012</v>
      </c>
      <c r="V75" s="10">
        <v>1392970.4118571661</v>
      </c>
      <c r="W75" s="10">
        <v>956775.38893980661</v>
      </c>
      <c r="X75" s="10">
        <v>1624196.6718504301</v>
      </c>
    </row>
    <row r="76" spans="1:24">
      <c r="A76" s="10" t="s">
        <v>840</v>
      </c>
      <c r="B76" s="10" t="s">
        <v>290</v>
      </c>
      <c r="C76" s="790">
        <v>4983438</v>
      </c>
      <c r="D76" s="790">
        <v>4889053</v>
      </c>
      <c r="E76" s="788">
        <f t="shared" si="3"/>
        <v>94385</v>
      </c>
      <c r="F76" s="193">
        <f t="shared" si="4"/>
        <v>3.831599900250793E-3</v>
      </c>
      <c r="I76" s="789">
        <v>20094</v>
      </c>
      <c r="J76" s="801">
        <v>19862</v>
      </c>
      <c r="K76" s="10">
        <v>2203266.8013203423</v>
      </c>
      <c r="L76" s="10">
        <v>3077173.0973284408</v>
      </c>
      <c r="M76" s="10">
        <v>16561.111157758642</v>
      </c>
      <c r="N76" s="10">
        <v>162159.81099790405</v>
      </c>
      <c r="O76" s="10">
        <v>307278.33592478978</v>
      </c>
      <c r="P76" s="10">
        <v>493743.12821752275</v>
      </c>
      <c r="Q76" s="10">
        <v>570475.94755616062</v>
      </c>
      <c r="R76" s="10">
        <v>322689.37364419544</v>
      </c>
      <c r="S76" s="10">
        <v>1873464.698320365</v>
      </c>
      <c r="T76" s="10">
        <v>3723216.9827485997</v>
      </c>
      <c r="U76" s="10">
        <v>1191101.8919155223</v>
      </c>
      <c r="V76" s="10">
        <v>833819.21305273753</v>
      </c>
      <c r="W76" s="10">
        <v>660072.17076159094</v>
      </c>
      <c r="X76" s="10">
        <v>1038223.7070187514</v>
      </c>
    </row>
    <row r="77" spans="1:24">
      <c r="A77" s="10" t="s">
        <v>1427</v>
      </c>
      <c r="B77" s="10" t="s">
        <v>883</v>
      </c>
      <c r="C77" s="790">
        <v>324212</v>
      </c>
      <c r="D77" s="790">
        <v>305674</v>
      </c>
      <c r="E77" s="788">
        <f t="shared" si="3"/>
        <v>18538</v>
      </c>
      <c r="F77" s="193">
        <f t="shared" si="4"/>
        <v>1.1845296031833527E-2</v>
      </c>
      <c r="I77" s="789">
        <v>18836</v>
      </c>
      <c r="J77" s="801">
        <v>18582</v>
      </c>
      <c r="K77" s="10">
        <v>144072.40265038976</v>
      </c>
      <c r="L77" s="10">
        <v>204431.71657277626</v>
      </c>
      <c r="M77" s="10">
        <v>2470.7363443067234</v>
      </c>
      <c r="N77" s="10">
        <v>13467.15910292736</v>
      </c>
      <c r="O77" s="10">
        <v>13644.210019437991</v>
      </c>
      <c r="P77" s="10">
        <v>28318.094092039933</v>
      </c>
      <c r="Q77" s="10">
        <v>42508.017412040463</v>
      </c>
      <c r="R77" s="10">
        <v>24670.943384479007</v>
      </c>
      <c r="S77" s="10">
        <v>125087.46710514447</v>
      </c>
      <c r="T77" s="10">
        <v>252249.82683311027</v>
      </c>
      <c r="U77" s="10">
        <v>92144.986496594618</v>
      </c>
      <c r="V77" s="10">
        <v>49664.782999687341</v>
      </c>
      <c r="W77" s="10">
        <v>54257.493178059376</v>
      </c>
      <c r="X77" s="10">
        <v>56182.564158768997</v>
      </c>
    </row>
    <row r="78" spans="1:24">
      <c r="A78" s="687" t="s">
        <v>75</v>
      </c>
      <c r="B78" s="687" t="s">
        <v>1141</v>
      </c>
      <c r="C78" s="688">
        <v>64027958</v>
      </c>
      <c r="D78" s="688">
        <v>62465708.996020004</v>
      </c>
      <c r="E78" s="788">
        <f t="shared" si="3"/>
        <v>1562249.0039799958</v>
      </c>
      <c r="F78" s="193">
        <f t="shared" si="4"/>
        <v>4.9526403008128975E-3</v>
      </c>
      <c r="I78" s="789">
        <v>20328</v>
      </c>
      <c r="J78" s="801">
        <v>20098</v>
      </c>
      <c r="K78" s="10">
        <v>29857720.948420499</v>
      </c>
      <c r="L78" s="788">
        <v>40571371.95574829</v>
      </c>
      <c r="M78" s="788">
        <v>414856.30222435389</v>
      </c>
      <c r="N78" s="788">
        <v>1640288.635359603</v>
      </c>
      <c r="O78" s="788">
        <v>4516939.7408130541</v>
      </c>
      <c r="P78" s="788">
        <v>6683537.1117984522</v>
      </c>
      <c r="Q78" s="788">
        <v>7208744.9965607217</v>
      </c>
      <c r="R78" s="788">
        <v>5362200.8732601497</v>
      </c>
      <c r="S78" s="788">
        <v>25832863.628487639</v>
      </c>
      <c r="T78" s="10">
        <v>46645853.60756544</v>
      </c>
      <c r="U78" s="10">
        <v>14523790.315997621</v>
      </c>
      <c r="V78" s="10">
        <v>11334838.008078121</v>
      </c>
      <c r="W78" s="10">
        <v>7821164.1903041638</v>
      </c>
      <c r="X78" s="10">
        <v>12966061.093185533</v>
      </c>
    </row>
    <row r="79" spans="1:24">
      <c r="A79" s="13" t="s">
        <v>66</v>
      </c>
      <c r="B79" s="13"/>
    </row>
    <row r="80" spans="1:24">
      <c r="A80" s="13"/>
      <c r="B80" s="13" t="s">
        <v>60</v>
      </c>
    </row>
    <row r="81" spans="1:2">
      <c r="A81" s="13"/>
      <c r="B81" s="13" t="s">
        <v>62</v>
      </c>
    </row>
  </sheetData>
  <sortState ref="A5:V19">
    <sortCondition ref="B5:B19"/>
  </sortState>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384"/>
  <sheetViews>
    <sheetView showGridLines="0" showRowColHeaders="0" showRuler="0" view="pageLayout" topLeftCell="A89" zoomScale="80" zoomScaleNormal="100" zoomScalePageLayoutView="80" workbookViewId="0">
      <selection activeCell="A135" sqref="A135:G136"/>
    </sheetView>
  </sheetViews>
  <sheetFormatPr baseColWidth="10" defaultColWidth="0" defaultRowHeight="15" zeroHeight="1"/>
  <cols>
    <col min="1" max="6" width="13.85546875" customWidth="1"/>
    <col min="7" max="7" width="14.7109375" customWidth="1"/>
    <col min="8" max="8" width="0" style="224" hidden="1" customWidth="1"/>
    <col min="9" max="18" width="0" hidden="1" customWidth="1"/>
    <col min="19" max="20" width="11.42578125" hidden="1" customWidth="1"/>
    <col min="21" max="25" width="0" hidden="1" customWidth="1"/>
    <col min="26" max="16384" width="11.42578125" hidden="1"/>
  </cols>
  <sheetData>
    <row r="1" spans="1:18" s="310" customFormat="1" ht="15" customHeight="1">
      <c r="A1" s="582"/>
      <c r="B1" s="583"/>
      <c r="C1" s="1105" t="s">
        <v>1039</v>
      </c>
      <c r="D1" s="1105"/>
      <c r="E1" s="1105"/>
      <c r="F1" s="1105"/>
      <c r="G1" s="1105"/>
      <c r="H1" s="1105"/>
      <c r="I1" s="1105"/>
      <c r="J1" s="1105"/>
      <c r="K1" s="1105"/>
      <c r="L1" s="1105"/>
      <c r="M1" s="1105"/>
      <c r="N1" s="1105"/>
      <c r="O1" s="1105"/>
      <c r="P1" s="1105"/>
      <c r="Q1" s="1105"/>
      <c r="R1"/>
    </row>
    <row r="2" spans="1:18" s="310" customFormat="1" ht="18.75" customHeight="1">
      <c r="A2" s="582"/>
      <c r="B2" s="583"/>
      <c r="C2" s="1105"/>
      <c r="D2" s="1105"/>
      <c r="E2" s="1105"/>
      <c r="F2" s="1105"/>
      <c r="G2" s="1105"/>
      <c r="H2" s="1105"/>
      <c r="I2" s="1105"/>
      <c r="J2" s="1105"/>
      <c r="K2" s="1105"/>
      <c r="L2" s="1105"/>
      <c r="M2" s="1105"/>
      <c r="N2" s="1105"/>
      <c r="O2" s="1105"/>
      <c r="P2" s="1105"/>
      <c r="Q2" s="1105"/>
      <c r="R2"/>
    </row>
    <row r="3" spans="1:18" s="310" customFormat="1" ht="14.25" customHeight="1">
      <c r="A3" s="582"/>
      <c r="B3" s="584"/>
      <c r="C3" s="1105"/>
      <c r="D3" s="1105"/>
      <c r="E3" s="1105"/>
      <c r="F3" s="1105"/>
      <c r="G3" s="1105"/>
      <c r="H3" s="1105"/>
      <c r="I3" s="1105"/>
      <c r="J3" s="1105"/>
      <c r="K3" s="1105"/>
      <c r="L3" s="1105"/>
      <c r="M3" s="1105"/>
      <c r="N3" s="1105"/>
      <c r="O3" s="1105"/>
      <c r="P3" s="1105"/>
      <c r="Q3" s="1105"/>
      <c r="R3"/>
    </row>
    <row r="4" spans="1:18" s="310" customFormat="1" ht="21">
      <c r="A4" s="582"/>
      <c r="B4" s="582"/>
      <c r="C4" s="1105"/>
      <c r="D4" s="1105"/>
      <c r="E4" s="1105"/>
      <c r="F4" s="1105"/>
      <c r="G4" s="1105"/>
      <c r="H4" s="1105"/>
      <c r="I4" s="1105"/>
      <c r="J4" s="1105"/>
      <c r="K4" s="1105"/>
      <c r="L4" s="1105"/>
      <c r="M4" s="1105"/>
      <c r="N4" s="1105"/>
      <c r="O4" s="1105"/>
      <c r="P4" s="1105"/>
      <c r="Q4" s="1105"/>
      <c r="R4"/>
    </row>
    <row r="5" spans="1:18" s="310" customFormat="1" ht="8.25" customHeight="1">
      <c r="A5" s="309"/>
      <c r="B5" s="309"/>
      <c r="C5" s="309"/>
      <c r="D5" s="309"/>
      <c r="E5" s="309"/>
      <c r="F5" s="309"/>
      <c r="G5" s="309"/>
      <c r="H5" s="224"/>
      <c r="I5"/>
      <c r="J5"/>
      <c r="K5"/>
      <c r="L5"/>
      <c r="M5"/>
      <c r="N5"/>
      <c r="O5"/>
    </row>
    <row r="6" spans="1:18" s="310" customFormat="1" ht="8.25" customHeight="1">
      <c r="A6" s="309"/>
      <c r="B6" s="309"/>
      <c r="C6" s="309"/>
      <c r="D6" s="309"/>
      <c r="E6" s="309"/>
      <c r="F6" s="309"/>
      <c r="G6" s="309"/>
      <c r="H6" s="224"/>
      <c r="I6" s="867"/>
      <c r="J6" s="867"/>
      <c r="K6" s="867"/>
      <c r="L6" s="867"/>
      <c r="M6" s="867"/>
      <c r="N6" s="867"/>
      <c r="O6" s="867"/>
    </row>
    <row r="7" spans="1:18" s="310" customFormat="1" ht="15" customHeight="1">
      <c r="A7" s="1102" t="s">
        <v>1040</v>
      </c>
      <c r="B7" s="1102"/>
      <c r="C7" s="1102"/>
      <c r="D7" s="1102"/>
      <c r="E7" s="1102"/>
      <c r="F7" s="1102"/>
      <c r="G7" s="1102"/>
      <c r="H7" s="224"/>
      <c r="I7"/>
      <c r="J7"/>
      <c r="K7"/>
      <c r="L7"/>
      <c r="M7"/>
      <c r="N7"/>
      <c r="O7"/>
    </row>
    <row r="8" spans="1:18" s="310" customFormat="1" ht="15" customHeight="1">
      <c r="A8" s="1102"/>
      <c r="B8" s="1102"/>
      <c r="C8" s="1102"/>
      <c r="D8" s="1102"/>
      <c r="E8" s="1102"/>
      <c r="F8" s="1102"/>
      <c r="G8" s="1102"/>
      <c r="H8" s="224"/>
      <c r="I8"/>
      <c r="J8"/>
      <c r="K8"/>
      <c r="L8"/>
      <c r="M8"/>
      <c r="N8"/>
      <c r="O8"/>
    </row>
    <row r="9" spans="1:18" ht="21" customHeight="1">
      <c r="A9" s="334" t="s">
        <v>810</v>
      </c>
      <c r="B9" s="310"/>
      <c r="C9" s="310"/>
      <c r="D9" s="310"/>
      <c r="E9" s="310"/>
      <c r="F9" s="310"/>
      <c r="G9" s="310"/>
    </row>
    <row r="10" spans="1:18">
      <c r="A10" s="1071" t="s">
        <v>1523</v>
      </c>
      <c r="B10" s="1071"/>
      <c r="C10" s="1071"/>
      <c r="D10" s="1059" t="s">
        <v>1524</v>
      </c>
      <c r="E10" s="1059"/>
      <c r="F10" s="1059"/>
      <c r="G10" s="1059"/>
    </row>
    <row r="11" spans="1:18" ht="15" customHeight="1">
      <c r="A11" s="1437" t="s">
        <v>1788</v>
      </c>
      <c r="B11" s="1437"/>
      <c r="C11" s="1437"/>
      <c r="D11" s="1437"/>
      <c r="E11" s="1437"/>
      <c r="F11" s="1437"/>
      <c r="G11" s="1437"/>
    </row>
    <row r="12" spans="1:18" ht="15" customHeight="1">
      <c r="A12" s="1437"/>
      <c r="B12" s="1437"/>
      <c r="C12" s="1437"/>
      <c r="D12" s="1437"/>
      <c r="E12" s="1437"/>
      <c r="F12" s="1437"/>
      <c r="G12" s="1437"/>
    </row>
    <row r="13" spans="1:18" ht="15" customHeight="1">
      <c r="A13" s="1061" t="s">
        <v>1329</v>
      </c>
      <c r="B13" s="1061"/>
      <c r="C13" s="1061"/>
      <c r="D13" s="1059" t="s">
        <v>1670</v>
      </c>
      <c r="E13" s="1059"/>
      <c r="F13" s="1059"/>
      <c r="G13" s="1059"/>
    </row>
    <row r="14" spans="1:18" ht="15" customHeight="1">
      <c r="A14" s="1437" t="s">
        <v>1056</v>
      </c>
      <c r="B14" s="1437"/>
      <c r="C14" s="1437"/>
      <c r="D14" s="1437"/>
      <c r="E14" s="1437"/>
      <c r="F14" s="1437"/>
      <c r="G14" s="1437"/>
    </row>
    <row r="15" spans="1:18">
      <c r="A15" s="1437"/>
      <c r="B15" s="1437"/>
      <c r="C15" s="1437"/>
      <c r="D15" s="1437"/>
      <c r="E15" s="1437"/>
      <c r="F15" s="1437"/>
      <c r="G15" s="1437"/>
    </row>
    <row r="16" spans="1:18">
      <c r="A16" s="1437"/>
      <c r="B16" s="1437"/>
      <c r="C16" s="1437"/>
      <c r="D16" s="1437"/>
      <c r="E16" s="1437"/>
      <c r="F16" s="1437"/>
      <c r="G16" s="1437"/>
    </row>
    <row r="17" spans="1:7">
      <c r="A17" s="1061" t="s">
        <v>1355</v>
      </c>
      <c r="B17" s="1061"/>
      <c r="C17" s="1061"/>
      <c r="D17" s="1059" t="s">
        <v>1670</v>
      </c>
      <c r="E17" s="1059"/>
      <c r="F17" s="1059"/>
      <c r="G17" s="1059"/>
    </row>
    <row r="18" spans="1:7">
      <c r="A18" s="1063" t="s">
        <v>1978</v>
      </c>
      <c r="B18" s="1063"/>
      <c r="C18" s="1063"/>
      <c r="D18" s="1063"/>
      <c r="E18" s="1063"/>
      <c r="F18" s="1063"/>
      <c r="G18" s="1063"/>
    </row>
    <row r="19" spans="1:7">
      <c r="A19" s="1063"/>
      <c r="B19" s="1063"/>
      <c r="C19" s="1063"/>
      <c r="D19" s="1063"/>
      <c r="E19" s="1063"/>
      <c r="F19" s="1063"/>
      <c r="G19" s="1063"/>
    </row>
    <row r="20" spans="1:7">
      <c r="A20" s="365" t="s">
        <v>1145</v>
      </c>
      <c r="B20" s="310"/>
      <c r="C20" s="310"/>
      <c r="D20" s="310"/>
      <c r="E20" s="310"/>
      <c r="F20" s="310"/>
      <c r="G20" s="310"/>
    </row>
    <row r="21" spans="1:7" ht="15" customHeight="1">
      <c r="A21" s="1428" t="s">
        <v>1772</v>
      </c>
      <c r="B21" s="1428"/>
      <c r="C21" s="1428"/>
      <c r="D21" s="1428"/>
      <c r="E21" s="368"/>
      <c r="F21" s="863"/>
      <c r="G21" s="863" t="s">
        <v>1670</v>
      </c>
    </row>
    <row r="22" spans="1:7" ht="15" customHeight="1">
      <c r="A22" s="1060" t="s">
        <v>1146</v>
      </c>
      <c r="B22" s="1060"/>
      <c r="C22" s="1060"/>
      <c r="D22" s="1060"/>
      <c r="E22" s="1060"/>
      <c r="F22" s="1060"/>
      <c r="G22" s="1060"/>
    </row>
    <row r="23" spans="1:7" ht="3.75" customHeight="1">
      <c r="A23" s="1060"/>
      <c r="B23" s="1060"/>
      <c r="C23" s="1060"/>
      <c r="D23" s="1060"/>
      <c r="E23" s="1060"/>
      <c r="F23" s="1060"/>
      <c r="G23" s="1060"/>
    </row>
    <row r="24" spans="1:7">
      <c r="A24" s="1060"/>
      <c r="B24" s="1060"/>
      <c r="C24" s="1060"/>
      <c r="D24" s="1060"/>
      <c r="E24" s="1060"/>
      <c r="F24" s="1060"/>
      <c r="G24" s="1060"/>
    </row>
    <row r="25" spans="1:7">
      <c r="A25" s="1061" t="s">
        <v>597</v>
      </c>
      <c r="B25" s="1061"/>
      <c r="C25" s="1061"/>
      <c r="D25" s="1059" t="s">
        <v>1671</v>
      </c>
      <c r="E25" s="1059"/>
      <c r="F25" s="1059"/>
      <c r="G25" s="1059"/>
    </row>
    <row r="26" spans="1:7" ht="15" customHeight="1">
      <c r="A26" s="1060" t="s">
        <v>1672</v>
      </c>
      <c r="B26" s="1060"/>
      <c r="C26" s="1060"/>
      <c r="D26" s="1060"/>
      <c r="E26" s="1060"/>
      <c r="F26" s="1060"/>
      <c r="G26" s="1060"/>
    </row>
    <row r="27" spans="1:7" ht="6.75" customHeight="1">
      <c r="A27" s="1060"/>
      <c r="B27" s="1060"/>
      <c r="C27" s="1060"/>
      <c r="D27" s="1060"/>
      <c r="E27" s="1060"/>
      <c r="F27" s="1060"/>
      <c r="G27" s="1060"/>
    </row>
    <row r="28" spans="1:7">
      <c r="A28" s="1060"/>
      <c r="B28" s="1060"/>
      <c r="C28" s="1060"/>
      <c r="D28" s="1060"/>
      <c r="E28" s="1060"/>
      <c r="F28" s="1060"/>
      <c r="G28" s="1060"/>
    </row>
    <row r="29" spans="1:7">
      <c r="A29" s="1060"/>
      <c r="B29" s="1060"/>
      <c r="C29" s="1060"/>
      <c r="D29" s="1060"/>
      <c r="E29" s="1060"/>
      <c r="F29" s="1060"/>
      <c r="G29" s="1060"/>
    </row>
    <row r="30" spans="1:7">
      <c r="A30" s="1066" t="s">
        <v>1061</v>
      </c>
      <c r="B30" s="1066"/>
      <c r="C30" s="1066"/>
      <c r="D30" s="1066"/>
      <c r="E30" s="1066"/>
      <c r="F30" s="1066"/>
      <c r="G30" s="1066"/>
    </row>
    <row r="31" spans="1:7">
      <c r="A31" s="1066"/>
      <c r="B31" s="1066"/>
      <c r="C31" s="1066"/>
      <c r="D31" s="1066"/>
      <c r="E31" s="1066"/>
      <c r="F31" s="1066"/>
      <c r="G31" s="1066"/>
    </row>
    <row r="32" spans="1:7">
      <c r="A32" s="1066"/>
      <c r="B32" s="1066"/>
      <c r="C32" s="1066"/>
      <c r="D32" s="1066"/>
      <c r="E32" s="1066"/>
      <c r="F32" s="1066"/>
      <c r="G32" s="1066"/>
    </row>
    <row r="33" spans="1:7">
      <c r="A33" s="1066"/>
      <c r="B33" s="1066"/>
      <c r="C33" s="1066"/>
      <c r="D33" s="1066"/>
      <c r="E33" s="1066"/>
      <c r="F33" s="1066"/>
      <c r="G33" s="1066"/>
    </row>
    <row r="34" spans="1:7">
      <c r="A34" s="1061" t="s">
        <v>592</v>
      </c>
      <c r="B34" s="1061"/>
      <c r="C34" s="1061"/>
      <c r="D34" s="1059" t="s">
        <v>1670</v>
      </c>
      <c r="E34" s="1059"/>
      <c r="F34" s="1059"/>
      <c r="G34" s="1059"/>
    </row>
    <row r="35" spans="1:7">
      <c r="A35" s="1062" t="s">
        <v>1057</v>
      </c>
      <c r="B35" s="1062"/>
      <c r="C35" s="1062"/>
      <c r="D35" s="1062"/>
      <c r="E35" s="1062"/>
      <c r="F35" s="1062"/>
      <c r="G35" s="1062"/>
    </row>
    <row r="36" spans="1:7">
      <c r="A36" s="1062"/>
      <c r="B36" s="1062"/>
      <c r="C36" s="1062"/>
      <c r="D36" s="1062"/>
      <c r="E36" s="1062"/>
      <c r="F36" s="1062"/>
      <c r="G36" s="1062"/>
    </row>
    <row r="37" spans="1:7">
      <c r="A37" s="1062"/>
      <c r="B37" s="1062"/>
      <c r="C37" s="1062"/>
      <c r="D37" s="1062"/>
      <c r="E37" s="1062"/>
      <c r="F37" s="1062"/>
      <c r="G37" s="1062"/>
    </row>
    <row r="38" spans="1:7">
      <c r="A38" s="1062"/>
      <c r="B38" s="1062"/>
      <c r="C38" s="1062"/>
      <c r="D38" s="1062"/>
      <c r="E38" s="1062"/>
      <c r="F38" s="1062"/>
      <c r="G38" s="1062"/>
    </row>
    <row r="39" spans="1:7">
      <c r="A39" s="1061" t="s">
        <v>593</v>
      </c>
      <c r="B39" s="1061"/>
      <c r="C39" s="1061"/>
      <c r="D39" s="1059" t="s">
        <v>1673</v>
      </c>
      <c r="E39" s="1059"/>
      <c r="F39" s="1059"/>
      <c r="G39" s="1059"/>
    </row>
    <row r="40" spans="1:7" ht="15" customHeight="1">
      <c r="A40" s="1437" t="s">
        <v>1359</v>
      </c>
      <c r="B40" s="1437"/>
      <c r="C40" s="1437"/>
      <c r="D40" s="1437"/>
      <c r="E40" s="1437"/>
      <c r="F40" s="1437"/>
      <c r="G40" s="1437"/>
    </row>
    <row r="41" spans="1:7">
      <c r="A41" s="1437"/>
      <c r="B41" s="1437"/>
      <c r="C41" s="1437"/>
      <c r="D41" s="1437"/>
      <c r="E41" s="1437"/>
      <c r="F41" s="1437"/>
      <c r="G41" s="1437"/>
    </row>
    <row r="42" spans="1:7" ht="6" customHeight="1">
      <c r="A42" s="1437"/>
      <c r="B42" s="1437"/>
      <c r="C42" s="1437"/>
      <c r="D42" s="1437"/>
      <c r="E42" s="1437"/>
      <c r="F42" s="1437"/>
      <c r="G42" s="1437"/>
    </row>
    <row r="43" spans="1:7">
      <c r="A43" s="1437"/>
      <c r="B43" s="1437"/>
      <c r="C43" s="1437"/>
      <c r="D43" s="1437"/>
      <c r="E43" s="1437"/>
      <c r="F43" s="1437"/>
      <c r="G43" s="1437"/>
    </row>
    <row r="44" spans="1:7">
      <c r="A44" s="1437"/>
      <c r="B44" s="1437"/>
      <c r="C44" s="1437"/>
      <c r="D44" s="1437"/>
      <c r="E44" s="1437"/>
      <c r="F44" s="1437"/>
      <c r="G44" s="1437"/>
    </row>
    <row r="45" spans="1:7">
      <c r="A45" s="1437"/>
      <c r="B45" s="1437"/>
      <c r="C45" s="1437"/>
      <c r="D45" s="1437"/>
      <c r="E45" s="1437"/>
      <c r="F45" s="1437"/>
      <c r="G45" s="1437"/>
    </row>
    <row r="46" spans="1:7">
      <c r="A46" s="1061" t="s">
        <v>594</v>
      </c>
      <c r="B46" s="1061"/>
      <c r="C46" s="1061"/>
      <c r="D46" s="1059" t="s">
        <v>1670</v>
      </c>
      <c r="E46" s="1059"/>
      <c r="F46" s="1059"/>
      <c r="G46" s="1059"/>
    </row>
    <row r="47" spans="1:7">
      <c r="A47" s="1062" t="s">
        <v>1270</v>
      </c>
      <c r="B47" s="1062"/>
      <c r="C47" s="1062"/>
      <c r="D47" s="1062"/>
      <c r="E47" s="1062"/>
      <c r="F47" s="1062"/>
      <c r="G47" s="1062"/>
    </row>
    <row r="48" spans="1:7" ht="30.75" customHeight="1">
      <c r="A48" s="1062"/>
      <c r="B48" s="1062"/>
      <c r="C48" s="1062"/>
      <c r="D48" s="1062"/>
      <c r="E48" s="1062"/>
      <c r="F48" s="1062"/>
      <c r="G48" s="1062"/>
    </row>
    <row r="49" spans="1:20">
      <c r="A49" s="1071" t="s">
        <v>1161</v>
      </c>
      <c r="B49" s="1071"/>
      <c r="C49" s="1071"/>
      <c r="D49" s="1059" t="s">
        <v>1724</v>
      </c>
      <c r="E49" s="1059"/>
      <c r="F49" s="1059"/>
      <c r="G49" s="1059"/>
    </row>
    <row r="50" spans="1:20" ht="15" customHeight="1">
      <c r="A50" s="1437" t="s">
        <v>1771</v>
      </c>
      <c r="B50" s="1437"/>
      <c r="C50" s="1437"/>
      <c r="D50" s="1437"/>
      <c r="E50" s="1437"/>
      <c r="F50" s="1437"/>
      <c r="G50" s="1437"/>
    </row>
    <row r="51" spans="1:20">
      <c r="A51" s="1437"/>
      <c r="B51" s="1437"/>
      <c r="C51" s="1437"/>
      <c r="D51" s="1437"/>
      <c r="E51" s="1437"/>
      <c r="F51" s="1437"/>
      <c r="G51" s="1437"/>
    </row>
    <row r="52" spans="1:20">
      <c r="A52" s="1437"/>
      <c r="B52" s="1437"/>
      <c r="C52" s="1437"/>
      <c r="D52" s="1437"/>
      <c r="E52" s="1437"/>
      <c r="F52" s="1437"/>
      <c r="G52" s="1437"/>
    </row>
    <row r="53" spans="1:20">
      <c r="A53" s="831"/>
      <c r="B53" s="831"/>
      <c r="C53" s="831"/>
      <c r="D53" s="831"/>
      <c r="E53" s="831"/>
      <c r="F53" s="831"/>
      <c r="G53" s="831"/>
    </row>
    <row r="54" spans="1:20">
      <c r="A54" s="372" t="s">
        <v>1155</v>
      </c>
      <c r="B54" s="310"/>
      <c r="C54" s="310"/>
      <c r="D54" s="310"/>
      <c r="E54" s="310"/>
      <c r="F54" s="310"/>
      <c r="G54" s="310"/>
    </row>
    <row r="55" spans="1:20">
      <c r="A55" s="372" t="s">
        <v>1156</v>
      </c>
      <c r="B55" s="310"/>
      <c r="C55" s="310"/>
      <c r="D55" s="310"/>
      <c r="E55" s="310"/>
      <c r="F55" s="310"/>
      <c r="G55" s="310"/>
    </row>
    <row r="56" spans="1:20">
      <c r="A56" s="373" t="s">
        <v>1276</v>
      </c>
      <c r="B56" s="310"/>
      <c r="C56" s="310"/>
      <c r="D56" s="310"/>
      <c r="E56" s="310"/>
      <c r="F56" s="310"/>
      <c r="G56" s="310"/>
    </row>
    <row r="57" spans="1:20">
      <c r="A57" s="373" t="s">
        <v>1275</v>
      </c>
      <c r="B57" s="310"/>
      <c r="C57" s="310"/>
      <c r="D57" s="310"/>
      <c r="E57" s="310"/>
      <c r="F57" s="310"/>
      <c r="G57" s="310"/>
    </row>
    <row r="58" spans="1:20">
      <c r="A58" s="372" t="s">
        <v>1157</v>
      </c>
      <c r="B58" s="310"/>
      <c r="C58" s="310"/>
      <c r="D58" s="310"/>
      <c r="E58" s="310"/>
      <c r="F58" s="310"/>
      <c r="G58" s="310"/>
    </row>
    <row r="59" spans="1:20">
      <c r="A59" s="372"/>
      <c r="B59" s="310"/>
      <c r="C59" s="310"/>
      <c r="D59" s="310"/>
      <c r="E59" s="310"/>
      <c r="F59" s="310"/>
      <c r="G59" s="310"/>
    </row>
    <row r="60" spans="1:20">
      <c r="A60" s="1071" t="s">
        <v>1162</v>
      </c>
      <c r="B60" s="1071"/>
      <c r="C60" s="1071"/>
      <c r="D60" s="1059" t="s">
        <v>1724</v>
      </c>
      <c r="E60" s="1059"/>
      <c r="F60" s="1059"/>
      <c r="G60" s="1059"/>
    </row>
    <row r="61" spans="1:20">
      <c r="A61" s="418" t="s">
        <v>275</v>
      </c>
      <c r="B61" s="310"/>
      <c r="C61" s="310"/>
      <c r="D61" s="310"/>
      <c r="E61" s="310"/>
      <c r="F61" s="310"/>
      <c r="G61" s="310"/>
    </row>
    <row r="62" spans="1:20">
      <c r="A62" s="573" t="s">
        <v>1163</v>
      </c>
      <c r="B62" s="310"/>
      <c r="C62" s="310"/>
      <c r="D62" s="310"/>
      <c r="E62" s="310"/>
      <c r="F62" s="873"/>
      <c r="G62" s="873"/>
      <c r="H62" s="874"/>
      <c r="I62" s="875"/>
      <c r="J62" s="875"/>
      <c r="K62" s="875"/>
      <c r="L62" s="875"/>
      <c r="M62" s="875"/>
      <c r="N62" s="875"/>
      <c r="O62" s="875"/>
      <c r="P62" s="875"/>
      <c r="Q62" s="875"/>
      <c r="R62" s="875"/>
      <c r="S62" s="875"/>
      <c r="T62" s="875"/>
    </row>
    <row r="63" spans="1:20">
      <c r="A63" s="573"/>
      <c r="B63" s="574" t="s">
        <v>1212</v>
      </c>
      <c r="C63" s="310"/>
      <c r="D63" s="310"/>
      <c r="E63" s="310"/>
      <c r="F63" s="873"/>
      <c r="G63" s="873"/>
      <c r="H63" s="874"/>
      <c r="I63" s="875"/>
      <c r="J63" s="875"/>
      <c r="K63" s="875"/>
      <c r="L63" s="875"/>
      <c r="M63" s="875"/>
      <c r="N63" s="875"/>
      <c r="O63" s="875"/>
      <c r="P63" s="875"/>
      <c r="Q63" s="875"/>
      <c r="R63" s="875"/>
      <c r="S63" s="875"/>
      <c r="T63" s="875"/>
    </row>
    <row r="64" spans="1:20">
      <c r="A64" s="573"/>
      <c r="B64" s="575" t="s">
        <v>1158</v>
      </c>
      <c r="C64" s="310"/>
      <c r="D64" s="310"/>
      <c r="E64" s="310"/>
      <c r="F64" s="310"/>
      <c r="G64" s="310"/>
    </row>
    <row r="65" spans="1:7">
      <c r="A65" s="573"/>
      <c r="B65" s="574" t="s">
        <v>414</v>
      </c>
      <c r="C65" s="310"/>
      <c r="D65" s="310"/>
      <c r="E65" s="310"/>
      <c r="F65" s="310"/>
      <c r="G65" s="310"/>
    </row>
    <row r="66" spans="1:7">
      <c r="A66" s="573"/>
      <c r="B66" s="574" t="s">
        <v>1159</v>
      </c>
      <c r="C66" s="310"/>
      <c r="D66" s="310"/>
      <c r="E66" s="310"/>
      <c r="F66" s="310"/>
      <c r="G66" s="310"/>
    </row>
    <row r="67" spans="1:7">
      <c r="A67" s="573"/>
      <c r="B67" s="574" t="s">
        <v>416</v>
      </c>
      <c r="C67" s="310"/>
      <c r="D67" s="310"/>
      <c r="E67" s="310"/>
      <c r="F67" s="310"/>
      <c r="G67" s="310"/>
    </row>
    <row r="68" spans="1:7">
      <c r="A68" s="573"/>
      <c r="B68" s="574" t="s">
        <v>417</v>
      </c>
      <c r="C68" s="310"/>
      <c r="D68" s="310"/>
      <c r="E68" s="310"/>
      <c r="F68" s="310"/>
      <c r="G68" s="310"/>
    </row>
    <row r="69" spans="1:7">
      <c r="A69" s="573" t="s">
        <v>277</v>
      </c>
      <c r="B69" s="310"/>
      <c r="C69" s="310"/>
      <c r="D69" s="310"/>
      <c r="E69" s="310"/>
      <c r="F69" s="310"/>
      <c r="G69" s="310"/>
    </row>
    <row r="70" spans="1:7">
      <c r="A70" s="573" t="s">
        <v>811</v>
      </c>
      <c r="B70" s="310"/>
      <c r="C70" s="310"/>
      <c r="D70" s="310"/>
      <c r="E70" s="310"/>
      <c r="F70" s="310"/>
      <c r="G70" s="310"/>
    </row>
    <row r="71" spans="1:7">
      <c r="A71" s="573" t="s">
        <v>279</v>
      </c>
      <c r="B71" s="310"/>
      <c r="C71" s="310"/>
      <c r="D71" s="310"/>
      <c r="E71" s="310"/>
      <c r="F71" s="310"/>
      <c r="G71" s="310"/>
    </row>
    <row r="72" spans="1:7">
      <c r="A72" s="573" t="s">
        <v>280</v>
      </c>
      <c r="B72" s="310"/>
      <c r="C72" s="310"/>
      <c r="D72" s="310"/>
      <c r="E72" s="310"/>
      <c r="F72" s="310"/>
      <c r="G72" s="310"/>
    </row>
    <row r="73" spans="1:7">
      <c r="A73" s="573" t="s">
        <v>281</v>
      </c>
      <c r="B73" s="310"/>
      <c r="C73" s="310"/>
      <c r="D73" s="310"/>
      <c r="E73" s="310"/>
      <c r="F73" s="310"/>
      <c r="G73" s="310"/>
    </row>
    <row r="74" spans="1:7">
      <c r="A74" s="573" t="s">
        <v>282</v>
      </c>
      <c r="B74" s="310"/>
      <c r="C74" s="310"/>
      <c r="D74" s="310"/>
      <c r="E74" s="310"/>
      <c r="F74" s="310"/>
      <c r="G74" s="310"/>
    </row>
    <row r="75" spans="1:7" ht="15" customHeight="1">
      <c r="A75" s="573" t="s">
        <v>283</v>
      </c>
      <c r="B75" s="310"/>
      <c r="C75" s="310"/>
      <c r="D75" s="310"/>
      <c r="E75" s="310"/>
      <c r="F75" s="310"/>
      <c r="G75" s="310"/>
    </row>
    <row r="76" spans="1:7">
      <c r="A76" s="573" t="s">
        <v>284</v>
      </c>
      <c r="B76" s="310"/>
      <c r="C76" s="310"/>
      <c r="D76" s="310"/>
      <c r="E76" s="310"/>
      <c r="F76" s="310"/>
      <c r="G76" s="310"/>
    </row>
    <row r="77" spans="1:7">
      <c r="A77" s="573" t="s">
        <v>285</v>
      </c>
      <c r="B77" s="310"/>
      <c r="C77" s="310"/>
      <c r="D77" s="310"/>
      <c r="E77" s="310"/>
      <c r="F77" s="310"/>
      <c r="G77" s="310"/>
    </row>
    <row r="78" spans="1:7" ht="15" customHeight="1">
      <c r="A78" s="573" t="s">
        <v>286</v>
      </c>
      <c r="B78" s="310"/>
      <c r="C78" s="310"/>
      <c r="D78" s="310"/>
      <c r="E78" s="310"/>
      <c r="F78" s="310"/>
      <c r="G78" s="310"/>
    </row>
    <row r="79" spans="1:7" ht="15" customHeight="1">
      <c r="A79" s="1061" t="s">
        <v>979</v>
      </c>
      <c r="B79" s="1061"/>
      <c r="C79" s="1061"/>
      <c r="D79" s="1059" t="s">
        <v>1954</v>
      </c>
      <c r="E79" s="1059"/>
      <c r="F79" s="1059"/>
      <c r="G79" s="1059"/>
    </row>
    <row r="80" spans="1:7" ht="25.5" customHeight="1">
      <c r="A80" s="1058" t="s">
        <v>1070</v>
      </c>
      <c r="B80" s="1058"/>
      <c r="C80" s="1058"/>
      <c r="D80" s="1058"/>
      <c r="E80" s="1058"/>
      <c r="F80" s="1058"/>
      <c r="G80" s="1058"/>
    </row>
    <row r="81" spans="1:8">
      <c r="A81" s="1058"/>
      <c r="B81" s="1058"/>
      <c r="C81" s="1058"/>
      <c r="D81" s="1058"/>
      <c r="E81" s="1058"/>
      <c r="F81" s="1058"/>
      <c r="G81" s="1058"/>
    </row>
    <row r="82" spans="1:8">
      <c r="A82" s="1063" t="s">
        <v>1062</v>
      </c>
      <c r="B82" s="1063"/>
      <c r="C82" s="1063"/>
      <c r="D82" s="1063"/>
      <c r="E82" s="1063"/>
      <c r="F82" s="1063"/>
      <c r="G82" s="1063"/>
    </row>
    <row r="83" spans="1:8">
      <c r="A83" s="1063"/>
      <c r="B83" s="1063"/>
      <c r="C83" s="1063"/>
      <c r="D83" s="1063"/>
      <c r="E83" s="1063"/>
      <c r="F83" s="1063"/>
      <c r="G83" s="1063"/>
    </row>
    <row r="84" spans="1:8">
      <c r="A84" s="1058" t="s">
        <v>1063</v>
      </c>
      <c r="B84" s="1058"/>
      <c r="C84" s="1058"/>
      <c r="D84" s="1058"/>
      <c r="E84" s="1058"/>
      <c r="F84" s="1058"/>
      <c r="G84" s="1058"/>
    </row>
    <row r="85" spans="1:8">
      <c r="A85" s="1058"/>
      <c r="B85" s="1058"/>
      <c r="C85" s="1058"/>
      <c r="D85" s="1058"/>
      <c r="E85" s="1058"/>
      <c r="F85" s="1058"/>
      <c r="G85" s="1058"/>
    </row>
    <row r="86" spans="1:8">
      <c r="A86" s="1058" t="s">
        <v>1071</v>
      </c>
      <c r="B86" s="1058"/>
      <c r="C86" s="1058"/>
      <c r="D86" s="1058"/>
      <c r="E86" s="1058"/>
      <c r="F86" s="1058"/>
      <c r="G86" s="1058"/>
    </row>
    <row r="87" spans="1:8">
      <c r="A87" s="1058"/>
      <c r="B87" s="1058"/>
      <c r="C87" s="1058"/>
      <c r="D87" s="1058"/>
      <c r="E87" s="1058"/>
      <c r="F87" s="1058"/>
      <c r="G87" s="1058"/>
    </row>
    <row r="88" spans="1:8" s="867" customFormat="1" ht="15" customHeight="1">
      <c r="A88" s="1061" t="s">
        <v>979</v>
      </c>
      <c r="B88" s="1061"/>
      <c r="C88" s="1061"/>
      <c r="D88" s="1059" t="s">
        <v>1955</v>
      </c>
      <c r="E88" s="1059"/>
      <c r="F88" s="1059"/>
      <c r="G88" s="1059"/>
      <c r="H88" s="224"/>
    </row>
    <row r="89" spans="1:8" s="867" customFormat="1">
      <c r="A89" s="365" t="s">
        <v>1979</v>
      </c>
      <c r="B89" s="960"/>
      <c r="C89" s="960"/>
      <c r="D89" s="960"/>
      <c r="E89" s="960"/>
      <c r="F89" s="960"/>
      <c r="G89" s="960"/>
      <c r="H89" s="224"/>
    </row>
    <row r="90" spans="1:8"/>
    <row r="91" spans="1:8">
      <c r="A91" s="334" t="s">
        <v>1354</v>
      </c>
      <c r="B91" s="310"/>
      <c r="C91" s="310"/>
      <c r="D91" s="310"/>
      <c r="E91" s="310"/>
      <c r="F91" s="310"/>
      <c r="G91" s="310"/>
    </row>
    <row r="92" spans="1:8">
      <c r="A92" s="748" t="s">
        <v>1478</v>
      </c>
      <c r="B92" s="748"/>
      <c r="C92" s="748"/>
      <c r="D92" s="746"/>
      <c r="E92" s="368"/>
      <c r="F92" s="368"/>
      <c r="G92" s="747" t="s">
        <v>1670</v>
      </c>
    </row>
    <row r="93" spans="1:8">
      <c r="A93" s="418" t="s">
        <v>1201</v>
      </c>
      <c r="B93" s="568"/>
      <c r="C93" s="568"/>
      <c r="D93" s="568"/>
      <c r="E93" s="568"/>
      <c r="F93" s="568"/>
      <c r="G93" s="568"/>
    </row>
    <row r="94" spans="1:8">
      <c r="A94" s="418" t="s">
        <v>1255</v>
      </c>
      <c r="B94" s="568"/>
      <c r="C94" s="568"/>
      <c r="D94" s="568"/>
      <c r="E94" s="568"/>
      <c r="F94" s="568"/>
      <c r="G94" s="568"/>
    </row>
    <row r="95" spans="1:8">
      <c r="A95" s="1065" t="s">
        <v>1369</v>
      </c>
      <c r="B95" s="1065"/>
      <c r="C95" s="1065"/>
      <c r="D95" s="1065"/>
      <c r="E95" s="1065"/>
      <c r="F95" s="1065"/>
      <c r="G95" s="1065"/>
    </row>
    <row r="96" spans="1:8">
      <c r="A96" s="1065"/>
      <c r="B96" s="1065"/>
      <c r="C96" s="1065"/>
      <c r="D96" s="1065"/>
      <c r="E96" s="1065"/>
      <c r="F96" s="1065"/>
      <c r="G96" s="1065"/>
    </row>
    <row r="97" spans="1:8">
      <c r="A97" s="568" t="s">
        <v>1148</v>
      </c>
      <c r="B97" s="568"/>
      <c r="C97" s="568"/>
      <c r="D97" s="568"/>
      <c r="E97" s="568"/>
      <c r="F97" s="568"/>
      <c r="G97" s="568"/>
    </row>
    <row r="98" spans="1:8">
      <c r="A98" s="1061" t="s">
        <v>1066</v>
      </c>
      <c r="B98" s="1061"/>
      <c r="C98" s="1061"/>
      <c r="D98" s="1059" t="s">
        <v>2034</v>
      </c>
      <c r="E98" s="1059"/>
      <c r="F98" s="1059"/>
      <c r="G98" s="1059"/>
    </row>
    <row r="99" spans="1:8">
      <c r="A99" s="1058" t="s">
        <v>1370</v>
      </c>
      <c r="B99" s="1058"/>
      <c r="C99" s="1058"/>
      <c r="D99" s="1058"/>
      <c r="E99" s="1058"/>
      <c r="F99" s="1058"/>
      <c r="G99" s="1058"/>
    </row>
    <row r="100" spans="1:8">
      <c r="A100" s="1058"/>
      <c r="B100" s="1058"/>
      <c r="C100" s="1058"/>
      <c r="D100" s="1058"/>
      <c r="E100" s="1058"/>
      <c r="F100" s="1058"/>
      <c r="G100" s="1058"/>
    </row>
    <row r="101" spans="1:8">
      <c r="A101" s="1058"/>
      <c r="B101" s="1058"/>
      <c r="C101" s="1058"/>
      <c r="D101" s="1058"/>
      <c r="E101" s="1058"/>
      <c r="F101" s="1058"/>
      <c r="G101" s="1058"/>
    </row>
    <row r="102" spans="1:8">
      <c r="A102" s="1058"/>
      <c r="B102" s="1058"/>
      <c r="C102" s="1058"/>
      <c r="D102" s="1058"/>
      <c r="E102" s="1058"/>
      <c r="F102" s="1058"/>
      <c r="G102" s="1058"/>
    </row>
    <row r="103" spans="1:8">
      <c r="A103" s="1058"/>
      <c r="B103" s="1058"/>
      <c r="C103" s="1058"/>
      <c r="D103" s="1058"/>
      <c r="E103" s="1058"/>
      <c r="F103" s="1058"/>
      <c r="G103" s="1058"/>
    </row>
    <row r="104" spans="1:8">
      <c r="A104" s="1058"/>
      <c r="B104" s="1058"/>
      <c r="C104" s="1058"/>
      <c r="D104" s="1058"/>
      <c r="E104" s="1058"/>
      <c r="F104" s="1058"/>
      <c r="G104" s="1058"/>
    </row>
    <row r="105" spans="1:8" s="867" customFormat="1">
      <c r="A105" s="869"/>
      <c r="B105" s="869"/>
      <c r="C105" s="869"/>
      <c r="D105" s="869"/>
      <c r="E105" s="869"/>
      <c r="F105" s="869"/>
      <c r="G105" s="869"/>
      <c r="H105" s="224"/>
    </row>
    <row r="106" spans="1:8">
      <c r="A106" s="864"/>
      <c r="B106" s="864"/>
      <c r="C106" s="864"/>
      <c r="D106" s="864"/>
      <c r="E106" s="864"/>
      <c r="F106" s="864"/>
      <c r="G106" s="864"/>
    </row>
    <row r="107" spans="1:8" ht="15" customHeight="1">
      <c r="A107" s="1061" t="s">
        <v>1065</v>
      </c>
      <c r="B107" s="1061"/>
      <c r="C107" s="1061"/>
      <c r="D107" s="316"/>
      <c r="E107" s="316"/>
      <c r="F107" s="316"/>
      <c r="G107" s="368" t="s">
        <v>1956</v>
      </c>
    </row>
    <row r="108" spans="1:8">
      <c r="A108" s="1058" t="s">
        <v>1271</v>
      </c>
      <c r="B108" s="1058"/>
      <c r="C108" s="1058"/>
      <c r="D108" s="1058"/>
      <c r="E108" s="1058"/>
      <c r="F108" s="1058"/>
      <c r="G108" s="1058"/>
    </row>
    <row r="109" spans="1:8">
      <c r="A109" s="1058"/>
      <c r="B109" s="1058"/>
      <c r="C109" s="1058"/>
      <c r="D109" s="1058"/>
      <c r="E109" s="1058"/>
      <c r="F109" s="1058"/>
      <c r="G109" s="1058"/>
    </row>
    <row r="110" spans="1:8" ht="15" customHeight="1">
      <c r="A110" s="1061" t="s">
        <v>1067</v>
      </c>
      <c r="B110" s="1061"/>
      <c r="C110" s="1061"/>
      <c r="D110" s="1059" t="s">
        <v>1957</v>
      </c>
      <c r="E110" s="1059"/>
      <c r="F110" s="1059"/>
      <c r="G110" s="1059"/>
    </row>
    <row r="111" spans="1:8">
      <c r="A111" s="1065" t="s">
        <v>1202</v>
      </c>
      <c r="B111" s="1065"/>
      <c r="C111" s="1065"/>
      <c r="D111" s="1065"/>
      <c r="E111" s="1065"/>
      <c r="F111" s="1065"/>
      <c r="G111" s="1065"/>
    </row>
    <row r="112" spans="1:8">
      <c r="A112" s="1065"/>
      <c r="B112" s="1065"/>
      <c r="C112" s="1065"/>
      <c r="D112" s="1065"/>
      <c r="E112" s="1065"/>
      <c r="F112" s="1065"/>
      <c r="G112" s="1065"/>
    </row>
    <row r="113" spans="1:7" ht="15" customHeight="1">
      <c r="A113" s="1061" t="s">
        <v>1272</v>
      </c>
      <c r="B113" s="1061"/>
      <c r="C113" s="1061"/>
      <c r="D113" s="1061"/>
      <c r="E113" s="1059" t="s">
        <v>1674</v>
      </c>
      <c r="F113" s="1059"/>
      <c r="G113" s="1059"/>
    </row>
    <row r="114" spans="1:7">
      <c r="A114" s="1058" t="s">
        <v>1203</v>
      </c>
      <c r="B114" s="1058"/>
      <c r="C114" s="1058"/>
      <c r="D114" s="1058"/>
      <c r="E114" s="1058"/>
      <c r="F114" s="1058"/>
      <c r="G114" s="1058"/>
    </row>
    <row r="115" spans="1:7" ht="15" customHeight="1">
      <c r="A115" s="1058"/>
      <c r="B115" s="1058"/>
      <c r="C115" s="1058"/>
      <c r="D115" s="1058"/>
      <c r="E115" s="1058"/>
      <c r="F115" s="1058"/>
      <c r="G115" s="1058"/>
    </row>
    <row r="116" spans="1:7">
      <c r="A116" s="1438" t="s">
        <v>1770</v>
      </c>
      <c r="B116" s="1438"/>
      <c r="C116" s="1438"/>
      <c r="D116" s="1438"/>
      <c r="E116" s="1438"/>
      <c r="F116" s="1438"/>
      <c r="G116" s="1438"/>
    </row>
    <row r="117" spans="1:7">
      <c r="A117" s="1438"/>
      <c r="B117" s="1438"/>
      <c r="C117" s="1438"/>
      <c r="D117" s="1438"/>
      <c r="E117" s="1438"/>
      <c r="F117" s="1438"/>
      <c r="G117" s="1438"/>
    </row>
    <row r="118" spans="1:7">
      <c r="A118" s="1061" t="s">
        <v>1738</v>
      </c>
      <c r="B118" s="1061"/>
      <c r="C118" s="1061"/>
      <c r="D118" s="1061"/>
      <c r="E118" s="1059" t="s">
        <v>1958</v>
      </c>
      <c r="F118" s="1059"/>
      <c r="G118" s="1059"/>
    </row>
    <row r="119" spans="1:7">
      <c r="A119" s="1058" t="s">
        <v>1064</v>
      </c>
      <c r="B119" s="1058"/>
      <c r="C119" s="1058"/>
      <c r="D119" s="1058"/>
      <c r="E119" s="1058"/>
      <c r="F119" s="1058"/>
      <c r="G119" s="1058"/>
    </row>
    <row r="120" spans="1:7" ht="15" customHeight="1">
      <c r="A120" s="1058"/>
      <c r="B120" s="1058"/>
      <c r="C120" s="1058"/>
      <c r="D120" s="1058"/>
      <c r="E120" s="1058"/>
      <c r="F120" s="1058"/>
      <c r="G120" s="1058"/>
    </row>
    <row r="121" spans="1:7">
      <c r="A121" s="1058"/>
      <c r="B121" s="1058"/>
      <c r="C121" s="1058"/>
      <c r="D121" s="1058"/>
      <c r="E121" s="1058"/>
      <c r="F121" s="1058"/>
      <c r="G121" s="1058"/>
    </row>
    <row r="122" spans="1:7">
      <c r="A122" s="1058" t="s">
        <v>1980</v>
      </c>
      <c r="B122" s="1058"/>
      <c r="C122" s="1058"/>
      <c r="D122" s="1058"/>
      <c r="E122" s="1058"/>
      <c r="F122" s="1058"/>
      <c r="G122" s="1058"/>
    </row>
    <row r="123" spans="1:7">
      <c r="A123" s="1058"/>
      <c r="B123" s="1058"/>
      <c r="C123" s="1058"/>
      <c r="D123" s="1058"/>
      <c r="E123" s="1058"/>
      <c r="F123" s="1058"/>
      <c r="G123" s="1058"/>
    </row>
    <row r="124" spans="1:7"/>
    <row r="125" spans="1:7" ht="15" customHeight="1">
      <c r="A125" s="333" t="s">
        <v>0</v>
      </c>
      <c r="B125" s="309"/>
      <c r="C125" s="309"/>
      <c r="D125" s="309"/>
      <c r="E125" s="309"/>
      <c r="F125" s="309"/>
      <c r="G125" s="309"/>
    </row>
    <row r="126" spans="1:7" ht="15" customHeight="1">
      <c r="A126" s="311" t="s">
        <v>1773</v>
      </c>
      <c r="B126" s="312"/>
      <c r="C126" s="312"/>
      <c r="D126" s="312"/>
      <c r="E126" s="368"/>
      <c r="F126" s="1439" t="s">
        <v>1670</v>
      </c>
      <c r="G126" s="1439"/>
    </row>
    <row r="127" spans="1:7">
      <c r="A127" s="1058" t="s">
        <v>1041</v>
      </c>
      <c r="B127" s="1058"/>
      <c r="C127" s="1058"/>
      <c r="D127" s="1058"/>
      <c r="E127" s="1058"/>
      <c r="F127" s="1058"/>
      <c r="G127" s="1058"/>
    </row>
    <row r="128" spans="1:7">
      <c r="A128" s="1058"/>
      <c r="B128" s="1058"/>
      <c r="C128" s="1058"/>
      <c r="D128" s="1058"/>
      <c r="E128" s="1058"/>
      <c r="F128" s="1058"/>
      <c r="G128" s="1058"/>
    </row>
    <row r="129" spans="1:7" ht="3.75" customHeight="1">
      <c r="A129" s="1058"/>
      <c r="B129" s="1058"/>
      <c r="C129" s="1058"/>
      <c r="D129" s="1058"/>
      <c r="E129" s="1058"/>
      <c r="F129" s="1058"/>
      <c r="G129" s="1058"/>
    </row>
    <row r="130" spans="1:7">
      <c r="A130" s="1058"/>
      <c r="B130" s="1058"/>
      <c r="C130" s="1058"/>
      <c r="D130" s="1058"/>
      <c r="E130" s="1058"/>
      <c r="F130" s="1058"/>
      <c r="G130" s="1058"/>
    </row>
    <row r="131" spans="1:7" ht="15" customHeight="1">
      <c r="A131" s="1058"/>
      <c r="B131" s="1058"/>
      <c r="C131" s="1058"/>
      <c r="D131" s="1058"/>
      <c r="E131" s="1058"/>
      <c r="F131" s="1058"/>
      <c r="G131" s="1058"/>
    </row>
    <row r="132" spans="1:7">
      <c r="A132" s="1067" t="s">
        <v>1675</v>
      </c>
      <c r="B132" s="1067"/>
      <c r="C132" s="1067"/>
      <c r="D132" s="1067"/>
      <c r="E132" s="1067"/>
      <c r="F132" s="1067"/>
      <c r="G132" s="1067"/>
    </row>
    <row r="133" spans="1:7">
      <c r="A133" s="314"/>
      <c r="B133" s="314"/>
      <c r="C133" s="314"/>
      <c r="D133" s="314"/>
      <c r="E133" s="314"/>
      <c r="F133" s="314"/>
      <c r="G133" s="314"/>
    </row>
    <row r="134" spans="1:7" ht="15" customHeight="1">
      <c r="A134" s="311" t="s">
        <v>1143</v>
      </c>
      <c r="B134" s="312"/>
      <c r="C134" s="312"/>
      <c r="D134" s="312"/>
      <c r="E134" s="1059" t="s">
        <v>1676</v>
      </c>
      <c r="F134" s="1059"/>
      <c r="G134" s="1059"/>
    </row>
    <row r="135" spans="1:7">
      <c r="A135" s="1058" t="s">
        <v>1144</v>
      </c>
      <c r="B135" s="1058"/>
      <c r="C135" s="1058"/>
      <c r="D135" s="1058"/>
      <c r="E135" s="1058"/>
      <c r="F135" s="1058"/>
      <c r="G135" s="1058"/>
    </row>
    <row r="136" spans="1:7">
      <c r="A136" s="1058"/>
      <c r="B136" s="1058"/>
      <c r="C136" s="1058"/>
      <c r="D136" s="1058"/>
      <c r="E136" s="1058"/>
      <c r="F136" s="1058"/>
      <c r="G136" s="1058"/>
    </row>
    <row r="137" spans="1:7" ht="15" customHeight="1">
      <c r="A137" s="311" t="s">
        <v>1068</v>
      </c>
      <c r="B137" s="312"/>
      <c r="C137" s="312"/>
      <c r="D137" s="312"/>
      <c r="E137" s="312"/>
      <c r="F137" s="1059" t="s">
        <v>1786</v>
      </c>
      <c r="G137" s="1059"/>
    </row>
    <row r="138" spans="1:7" ht="15" customHeight="1">
      <c r="A138" s="1063" t="s">
        <v>1981</v>
      </c>
      <c r="B138" s="1063"/>
      <c r="C138" s="1063"/>
      <c r="D138" s="1063"/>
      <c r="E138" s="1063"/>
      <c r="F138" s="1063"/>
      <c r="G138" s="1063"/>
    </row>
    <row r="139" spans="1:7">
      <c r="A139" s="1063"/>
      <c r="B139" s="1063"/>
      <c r="C139" s="1063"/>
      <c r="D139" s="1063"/>
      <c r="E139" s="1063"/>
      <c r="F139" s="1063"/>
      <c r="G139" s="1063"/>
    </row>
    <row r="140" spans="1:7">
      <c r="A140" s="1063"/>
      <c r="B140" s="1063"/>
      <c r="C140" s="1063"/>
      <c r="D140" s="1063"/>
      <c r="E140" s="1063"/>
      <c r="F140" s="1063"/>
      <c r="G140" s="1063"/>
    </row>
    <row r="141" spans="1:7" ht="15" customHeight="1">
      <c r="A141" s="1063"/>
      <c r="B141" s="1063"/>
      <c r="C141" s="1063"/>
      <c r="D141" s="1063"/>
      <c r="E141" s="1063"/>
      <c r="F141" s="1063"/>
      <c r="G141" s="1063"/>
    </row>
    <row r="142" spans="1:7">
      <c r="A142" s="1063" t="s">
        <v>1277</v>
      </c>
      <c r="B142" s="1063"/>
      <c r="C142" s="1063"/>
      <c r="D142" s="1063"/>
      <c r="E142" s="1063"/>
      <c r="F142" s="1063"/>
      <c r="G142" s="1063"/>
    </row>
    <row r="143" spans="1:7">
      <c r="A143" s="1063"/>
      <c r="B143" s="1063"/>
      <c r="C143" s="1063"/>
      <c r="D143" s="1063"/>
      <c r="E143" s="1063"/>
      <c r="F143" s="1063"/>
      <c r="G143" s="1063"/>
    </row>
    <row r="144" spans="1:7">
      <c r="A144" s="1063"/>
      <c r="B144" s="1063"/>
      <c r="C144" s="1063"/>
      <c r="D144" s="1063"/>
      <c r="E144" s="1063"/>
      <c r="F144" s="1063"/>
      <c r="G144" s="1063"/>
    </row>
    <row r="145" spans="1:8" ht="5.25" customHeight="1">
      <c r="A145" s="1063"/>
      <c r="B145" s="1063"/>
      <c r="C145" s="1063"/>
      <c r="D145" s="1063"/>
      <c r="E145" s="1063"/>
      <c r="F145" s="1063"/>
      <c r="G145" s="1063"/>
    </row>
    <row r="146" spans="1:8">
      <c r="A146" s="1063"/>
      <c r="B146" s="1063"/>
      <c r="C146" s="1063"/>
      <c r="D146" s="1063"/>
      <c r="E146" s="1063"/>
      <c r="F146" s="1063"/>
      <c r="G146" s="1063"/>
    </row>
    <row r="147" spans="1:8">
      <c r="A147" s="1063"/>
      <c r="B147" s="1063"/>
      <c r="C147" s="1063"/>
      <c r="D147" s="1063"/>
      <c r="E147" s="1063"/>
      <c r="F147" s="1063"/>
      <c r="G147" s="1063"/>
    </row>
    <row r="148" spans="1:8">
      <c r="A148" s="1063"/>
      <c r="B148" s="1063"/>
      <c r="C148" s="1063"/>
      <c r="D148" s="1063"/>
      <c r="E148" s="1063"/>
      <c r="F148" s="1063"/>
      <c r="G148" s="1063"/>
    </row>
    <row r="149" spans="1:8" ht="15" customHeight="1">
      <c r="A149" s="1063"/>
      <c r="B149" s="1063"/>
      <c r="C149" s="1063"/>
      <c r="D149" s="1063"/>
      <c r="E149" s="1063"/>
      <c r="F149" s="1063"/>
      <c r="G149" s="1063"/>
    </row>
    <row r="150" spans="1:8">
      <c r="A150" s="1063" t="s">
        <v>1364</v>
      </c>
      <c r="B150" s="1063"/>
      <c r="C150" s="1063"/>
      <c r="D150" s="1063"/>
      <c r="E150" s="1063"/>
      <c r="F150" s="1063"/>
      <c r="G150" s="1063"/>
    </row>
    <row r="151" spans="1:8" ht="15" customHeight="1">
      <c r="A151" s="1063"/>
      <c r="B151" s="1063"/>
      <c r="C151" s="1063"/>
      <c r="D151" s="1063"/>
      <c r="E151" s="1063"/>
      <c r="F151" s="1063"/>
      <c r="G151" s="1063"/>
    </row>
    <row r="152" spans="1:8">
      <c r="A152" s="1067" t="s">
        <v>1787</v>
      </c>
      <c r="B152" s="1067"/>
      <c r="C152" s="1067"/>
      <c r="D152" s="1067"/>
      <c r="E152" s="1067"/>
      <c r="F152" s="1067"/>
      <c r="G152" s="1067"/>
    </row>
    <row r="153" spans="1:8" ht="15" customHeight="1">
      <c r="A153" s="1061" t="s">
        <v>1774</v>
      </c>
      <c r="B153" s="1061"/>
      <c r="C153" s="1061"/>
      <c r="D153" s="1061"/>
      <c r="E153" s="368"/>
      <c r="F153" s="368"/>
      <c r="G153" s="863" t="s">
        <v>1670</v>
      </c>
    </row>
    <row r="154" spans="1:8">
      <c r="A154" s="1063" t="s">
        <v>1055</v>
      </c>
      <c r="B154" s="1063"/>
      <c r="C154" s="1063"/>
      <c r="D154" s="1063"/>
      <c r="E154" s="1063"/>
      <c r="F154" s="1063"/>
      <c r="G154" s="1063"/>
    </row>
    <row r="155" spans="1:8">
      <c r="A155" s="1061" t="s">
        <v>1775</v>
      </c>
      <c r="B155" s="1061"/>
      <c r="C155" s="1061"/>
      <c r="D155" s="1059" t="s">
        <v>1670</v>
      </c>
      <c r="E155" s="1059"/>
      <c r="F155" s="1059"/>
      <c r="G155" s="1059"/>
    </row>
    <row r="156" spans="1:8">
      <c r="A156" s="320" t="s">
        <v>1982</v>
      </c>
      <c r="B156" s="321"/>
      <c r="C156" s="321"/>
      <c r="D156" s="322"/>
      <c r="E156" s="322"/>
      <c r="F156" s="322"/>
      <c r="G156" s="322"/>
    </row>
    <row r="157" spans="1:8" s="867" customFormat="1">
      <c r="A157" s="320"/>
      <c r="B157" s="321"/>
      <c r="C157" s="321"/>
      <c r="D157" s="322"/>
      <c r="E157" s="322"/>
      <c r="F157" s="322"/>
      <c r="G157" s="322"/>
      <c r="H157" s="224"/>
    </row>
    <row r="158" spans="1:8">
      <c r="A158" s="748" t="s">
        <v>1776</v>
      </c>
      <c r="B158" s="748"/>
      <c r="C158" s="748"/>
      <c r="D158" s="747"/>
      <c r="E158" s="747"/>
      <c r="F158" s="747"/>
      <c r="G158" s="747" t="s">
        <v>1670</v>
      </c>
    </row>
    <row r="159" spans="1:8">
      <c r="A159" s="324" t="s">
        <v>1367</v>
      </c>
      <c r="B159" s="309"/>
      <c r="C159" s="309"/>
      <c r="D159" s="309"/>
      <c r="E159" s="309"/>
      <c r="F159" s="309"/>
      <c r="G159" s="309"/>
    </row>
    <row r="160" spans="1:8" s="867" customFormat="1">
      <c r="A160" s="324"/>
      <c r="B160" s="309"/>
      <c r="C160" s="309"/>
      <c r="D160" s="309"/>
      <c r="E160" s="309"/>
      <c r="F160" s="309"/>
      <c r="G160" s="309"/>
      <c r="H160" s="224"/>
    </row>
    <row r="161" spans="1:15">
      <c r="A161" s="311" t="s">
        <v>1777</v>
      </c>
      <c r="B161" s="312"/>
      <c r="C161" s="312"/>
      <c r="D161" s="312"/>
      <c r="E161" s="1059" t="s">
        <v>1670</v>
      </c>
      <c r="F161" s="1059"/>
      <c r="G161" s="1059"/>
    </row>
    <row r="162" spans="1:15" s="336" customFormat="1" ht="15" customHeight="1">
      <c r="A162" s="365" t="s">
        <v>1049</v>
      </c>
      <c r="B162" s="365"/>
      <c r="C162" s="365"/>
      <c r="D162" s="365"/>
      <c r="E162" s="365"/>
      <c r="F162" s="365"/>
      <c r="G162" s="365"/>
      <c r="H162" s="224"/>
      <c r="I162"/>
      <c r="J162"/>
      <c r="K162"/>
      <c r="L162"/>
      <c r="M162"/>
      <c r="N162"/>
      <c r="O162"/>
    </row>
    <row r="163" spans="1:15" s="310" customFormat="1" ht="15" customHeight="1">
      <c r="A163" s="1086" t="s">
        <v>1768</v>
      </c>
      <c r="B163" s="1086"/>
      <c r="C163" s="1086"/>
      <c r="D163" s="1086"/>
      <c r="E163" s="1086"/>
      <c r="F163" s="1086"/>
      <c r="G163" s="1086"/>
      <c r="H163" s="224"/>
      <c r="I163"/>
      <c r="J163"/>
      <c r="K163"/>
      <c r="L163"/>
      <c r="M163"/>
      <c r="N163"/>
      <c r="O163"/>
    </row>
    <row r="164" spans="1:15" s="310" customFormat="1">
      <c r="A164" s="1086"/>
      <c r="B164" s="1086"/>
      <c r="C164" s="1086"/>
      <c r="D164" s="1086"/>
      <c r="E164" s="1086"/>
      <c r="F164" s="1086"/>
      <c r="G164" s="1086"/>
      <c r="H164" s="224"/>
      <c r="I164"/>
      <c r="J164"/>
      <c r="K164"/>
      <c r="L164"/>
      <c r="M164"/>
      <c r="N164"/>
      <c r="O164"/>
    </row>
    <row r="165" spans="1:15" s="310" customFormat="1">
      <c r="A165" s="365" t="s">
        <v>1789</v>
      </c>
      <c r="B165" s="749"/>
      <c r="C165" s="749"/>
      <c r="D165" s="749"/>
      <c r="E165" s="365" t="s">
        <v>1350</v>
      </c>
      <c r="F165" s="749"/>
      <c r="G165" s="749"/>
      <c r="H165" s="224"/>
      <c r="I165"/>
      <c r="J165"/>
      <c r="K165"/>
      <c r="L165"/>
      <c r="M165"/>
      <c r="N165"/>
      <c r="O165"/>
    </row>
    <row r="166" spans="1:15" s="310" customFormat="1" ht="15" customHeight="1">
      <c r="A166" s="365" t="s">
        <v>1349</v>
      </c>
      <c r="B166"/>
      <c r="C166"/>
      <c r="D166"/>
      <c r="E166" s="365" t="s">
        <v>1351</v>
      </c>
      <c r="F166"/>
      <c r="G166"/>
      <c r="H166" s="224"/>
      <c r="I166"/>
      <c r="J166"/>
      <c r="K166"/>
      <c r="L166"/>
      <c r="M166"/>
      <c r="N166"/>
      <c r="O166"/>
    </row>
    <row r="167" spans="1:15" s="310" customFormat="1" ht="15" customHeight="1">
      <c r="A167" s="365"/>
      <c r="B167" s="818"/>
      <c r="C167" s="818"/>
      <c r="D167" s="818"/>
      <c r="E167" s="365"/>
      <c r="F167" s="818"/>
      <c r="G167" s="818"/>
      <c r="H167" s="224"/>
      <c r="I167"/>
      <c r="J167"/>
      <c r="K167"/>
      <c r="L167"/>
      <c r="M167"/>
      <c r="N167"/>
      <c r="O167"/>
    </row>
    <row r="168" spans="1:15" s="310" customFormat="1" ht="15" customHeight="1">
      <c r="A168" s="334" t="s">
        <v>274</v>
      </c>
      <c r="B168" s="335"/>
      <c r="C168" s="335"/>
      <c r="D168" s="335"/>
      <c r="E168" s="335"/>
      <c r="F168" s="335"/>
      <c r="G168" s="335"/>
      <c r="H168" s="224"/>
      <c r="I168"/>
      <c r="J168"/>
      <c r="K168"/>
      <c r="L168"/>
      <c r="M168"/>
      <c r="N168"/>
      <c r="O168"/>
    </row>
    <row r="169" spans="1:15" s="310" customFormat="1">
      <c r="A169" s="334"/>
      <c r="B169" s="335"/>
      <c r="C169" s="335"/>
      <c r="D169" s="335"/>
      <c r="E169" s="335"/>
      <c r="F169" s="335"/>
      <c r="G169" s="335"/>
      <c r="H169" s="224"/>
      <c r="I169"/>
      <c r="J169"/>
      <c r="K169"/>
      <c r="L169"/>
      <c r="M169"/>
      <c r="N169"/>
      <c r="O169"/>
    </row>
    <row r="170" spans="1:15" s="310" customFormat="1" ht="15" customHeight="1">
      <c r="A170" s="1061" t="s">
        <v>1235</v>
      </c>
      <c r="B170" s="1061"/>
      <c r="C170" s="1059" t="s">
        <v>1959</v>
      </c>
      <c r="D170" s="1059"/>
      <c r="E170" s="1059"/>
      <c r="F170" s="1059"/>
      <c r="G170" s="1059"/>
      <c r="H170" s="224"/>
      <c r="I170"/>
      <c r="J170"/>
      <c r="K170"/>
      <c r="L170"/>
      <c r="M170"/>
      <c r="N170"/>
      <c r="O170"/>
    </row>
    <row r="171" spans="1:15" s="310" customFormat="1">
      <c r="A171" s="1058" t="s">
        <v>1149</v>
      </c>
      <c r="B171" s="1058"/>
      <c r="C171" s="1058"/>
      <c r="D171" s="1058"/>
      <c r="E171" s="1058"/>
      <c r="F171" s="1058"/>
      <c r="G171" s="1058"/>
      <c r="H171" s="224"/>
      <c r="I171"/>
      <c r="J171"/>
      <c r="K171"/>
      <c r="L171"/>
      <c r="M171"/>
      <c r="N171"/>
      <c r="O171"/>
    </row>
    <row r="172" spans="1:15" s="310" customFormat="1">
      <c r="A172" s="1058"/>
      <c r="B172" s="1058"/>
      <c r="C172" s="1058"/>
      <c r="D172" s="1058"/>
      <c r="E172" s="1058"/>
      <c r="F172" s="1058"/>
      <c r="G172" s="1058"/>
      <c r="H172" s="224"/>
      <c r="I172"/>
      <c r="J172"/>
      <c r="K172"/>
      <c r="L172"/>
      <c r="M172"/>
      <c r="N172"/>
      <c r="O172"/>
    </row>
    <row r="173" spans="1:15" s="310" customFormat="1" ht="15" customHeight="1">
      <c r="A173" s="316" t="s">
        <v>1236</v>
      </c>
      <c r="B173" s="316"/>
      <c r="C173" s="316"/>
      <c r="D173" s="368"/>
      <c r="E173" s="368"/>
      <c r="F173" s="368"/>
      <c r="G173" s="751" t="s">
        <v>1959</v>
      </c>
      <c r="H173" s="224"/>
      <c r="I173"/>
      <c r="J173"/>
      <c r="K173"/>
      <c r="L173"/>
      <c r="M173"/>
      <c r="N173"/>
      <c r="O173"/>
    </row>
    <row r="174" spans="1:15" s="310" customFormat="1">
      <c r="A174" s="1058" t="s">
        <v>1042</v>
      </c>
      <c r="B174" s="1058"/>
      <c r="C174" s="1058"/>
      <c r="D174" s="1058"/>
      <c r="E174" s="1058"/>
      <c r="F174" s="1058"/>
      <c r="G174" s="1058"/>
      <c r="H174" s="224"/>
      <c r="I174"/>
      <c r="J174"/>
      <c r="K174"/>
      <c r="L174"/>
      <c r="M174"/>
      <c r="N174"/>
      <c r="O174"/>
    </row>
    <row r="175" spans="1:15" s="310" customFormat="1" ht="15" customHeight="1">
      <c r="A175" s="1058"/>
      <c r="B175" s="1058"/>
      <c r="C175" s="1058"/>
      <c r="D175" s="1058"/>
      <c r="E175" s="1058"/>
      <c r="F175" s="1058"/>
      <c r="G175" s="1058"/>
      <c r="H175" s="224"/>
      <c r="I175"/>
      <c r="J175"/>
      <c r="K175"/>
      <c r="L175"/>
      <c r="M175"/>
      <c r="N175"/>
      <c r="O175"/>
    </row>
    <row r="176" spans="1:15" s="310" customFormat="1" ht="15" customHeight="1">
      <c r="A176" s="1058"/>
      <c r="B176" s="1058"/>
      <c r="C176" s="1058"/>
      <c r="D176" s="1058"/>
      <c r="E176" s="1058"/>
      <c r="F176" s="1058"/>
      <c r="G176" s="1058"/>
      <c r="H176" s="224"/>
      <c r="I176"/>
      <c r="J176"/>
      <c r="K176"/>
      <c r="L176"/>
      <c r="M176"/>
      <c r="N176"/>
      <c r="O176"/>
    </row>
    <row r="177" spans="1:18" s="310" customFormat="1" ht="15" customHeight="1">
      <c r="A177" s="1068" t="s">
        <v>1043</v>
      </c>
      <c r="B177" s="1068"/>
      <c r="C177" s="1068"/>
      <c r="D177" s="1068"/>
      <c r="E177" s="1068"/>
      <c r="F177" s="1068"/>
      <c r="G177" s="1068"/>
      <c r="H177" s="224"/>
      <c r="I177"/>
      <c r="J177"/>
      <c r="K177"/>
      <c r="L177"/>
      <c r="M177"/>
      <c r="N177"/>
      <c r="O177"/>
    </row>
    <row r="178" spans="1:18" s="310" customFormat="1" ht="15" customHeight="1">
      <c r="A178" s="1068"/>
      <c r="B178" s="1068"/>
      <c r="C178" s="1068"/>
      <c r="D178" s="1068"/>
      <c r="E178" s="1068"/>
      <c r="F178" s="1068"/>
      <c r="G178" s="1068"/>
      <c r="H178" s="224"/>
      <c r="I178"/>
      <c r="J178"/>
      <c r="K178"/>
      <c r="L178"/>
      <c r="M178"/>
      <c r="N178"/>
      <c r="O178"/>
    </row>
    <row r="179" spans="1:18" s="310" customFormat="1" ht="15" customHeight="1">
      <c r="A179" s="1067" t="s">
        <v>1960</v>
      </c>
      <c r="B179" s="1067"/>
      <c r="C179" s="1067"/>
      <c r="D179" s="1067"/>
      <c r="E179" s="1067"/>
      <c r="F179" s="1067"/>
      <c r="G179" s="1067"/>
      <c r="H179" s="224"/>
      <c r="I179"/>
      <c r="J179"/>
      <c r="K179"/>
      <c r="L179"/>
      <c r="M179"/>
      <c r="N179"/>
      <c r="O179"/>
    </row>
    <row r="180" spans="1:18" s="310" customFormat="1" ht="15" customHeight="1">
      <c r="A180" s="316" t="s">
        <v>709</v>
      </c>
      <c r="B180" s="316"/>
      <c r="C180" s="316"/>
      <c r="D180" s="1059" t="s">
        <v>1959</v>
      </c>
      <c r="E180" s="1059"/>
      <c r="F180" s="1059"/>
      <c r="G180" s="1059"/>
      <c r="H180" s="224"/>
      <c r="I180"/>
      <c r="J180"/>
      <c r="K180"/>
      <c r="L180"/>
      <c r="M180"/>
      <c r="N180"/>
      <c r="O180"/>
    </row>
    <row r="181" spans="1:18" s="310" customFormat="1">
      <c r="A181" s="1058" t="s">
        <v>1044</v>
      </c>
      <c r="B181" s="1058"/>
      <c r="C181" s="1058"/>
      <c r="D181" s="1058"/>
      <c r="E181" s="1058"/>
      <c r="F181" s="1058"/>
      <c r="G181" s="1058"/>
      <c r="H181" s="224"/>
      <c r="I181"/>
      <c r="J181"/>
      <c r="K181"/>
      <c r="L181"/>
      <c r="M181"/>
      <c r="N181"/>
      <c r="O181"/>
    </row>
    <row r="182" spans="1:18" s="310" customFormat="1" ht="15" customHeight="1">
      <c r="A182" s="1058"/>
      <c r="B182" s="1058"/>
      <c r="C182" s="1058"/>
      <c r="D182" s="1058"/>
      <c r="E182" s="1058"/>
      <c r="F182" s="1058"/>
      <c r="G182" s="1058"/>
      <c r="H182" s="224"/>
      <c r="I182"/>
      <c r="J182"/>
      <c r="K182"/>
      <c r="L182"/>
      <c r="M182"/>
      <c r="N182"/>
      <c r="O182"/>
    </row>
    <row r="183" spans="1:18" s="310" customFormat="1">
      <c r="A183" s="1058" t="s">
        <v>1045</v>
      </c>
      <c r="B183" s="1058"/>
      <c r="C183" s="1058"/>
      <c r="D183" s="1058"/>
      <c r="E183" s="1058"/>
      <c r="F183" s="1058"/>
      <c r="G183" s="1058"/>
      <c r="H183" s="224"/>
      <c r="I183"/>
      <c r="J183"/>
      <c r="K183"/>
      <c r="L183"/>
      <c r="M183"/>
      <c r="N183"/>
      <c r="O183"/>
    </row>
    <row r="184" spans="1:18" s="310" customFormat="1" ht="15" customHeight="1">
      <c r="A184" s="1058"/>
      <c r="B184" s="1058"/>
      <c r="C184" s="1058"/>
      <c r="D184" s="1058"/>
      <c r="E184" s="1058"/>
      <c r="F184" s="1058"/>
      <c r="G184" s="1058"/>
      <c r="H184" s="224"/>
      <c r="I184"/>
      <c r="J184"/>
      <c r="K184"/>
      <c r="L184"/>
      <c r="M184"/>
      <c r="N184"/>
      <c r="O184"/>
    </row>
    <row r="185" spans="1:18" s="310" customFormat="1">
      <c r="A185" s="1058"/>
      <c r="B185" s="1058"/>
      <c r="C185" s="1058"/>
      <c r="D185" s="1058"/>
      <c r="E185" s="1058"/>
      <c r="F185" s="1058"/>
      <c r="G185" s="1058"/>
      <c r="H185" s="224"/>
      <c r="I185"/>
      <c r="J185"/>
      <c r="K185"/>
      <c r="L185"/>
      <c r="M185"/>
      <c r="N185"/>
      <c r="O185"/>
    </row>
    <row r="186" spans="1:18" s="310" customFormat="1" ht="18.75" customHeight="1">
      <c r="A186" s="1068" t="s">
        <v>1046</v>
      </c>
      <c r="B186" s="1068"/>
      <c r="C186" s="1068"/>
      <c r="D186" s="1068"/>
      <c r="E186" s="1068"/>
      <c r="F186" s="1068"/>
      <c r="G186" s="1068"/>
      <c r="H186" s="224"/>
      <c r="I186"/>
      <c r="J186"/>
      <c r="K186"/>
      <c r="L186"/>
      <c r="M186"/>
      <c r="N186"/>
      <c r="O186"/>
    </row>
    <row r="187" spans="1:18" s="310" customFormat="1" ht="15.75" customHeight="1">
      <c r="A187" s="1068"/>
      <c r="B187" s="1068"/>
      <c r="C187" s="1068"/>
      <c r="D187" s="1068"/>
      <c r="E187" s="1068"/>
      <c r="F187" s="1068"/>
      <c r="G187" s="1068"/>
      <c r="H187" s="224"/>
      <c r="I187"/>
      <c r="J187"/>
      <c r="K187"/>
      <c r="L187"/>
      <c r="M187"/>
      <c r="N187"/>
      <c r="O187"/>
    </row>
    <row r="188" spans="1:18" s="310" customFormat="1" ht="12" customHeight="1">
      <c r="A188" s="1067" t="s">
        <v>1960</v>
      </c>
      <c r="B188" s="1067"/>
      <c r="C188" s="1067"/>
      <c r="D188" s="1067"/>
      <c r="E188" s="1067"/>
      <c r="F188" s="1067"/>
      <c r="G188" s="1067"/>
      <c r="H188" s="224"/>
      <c r="I188"/>
      <c r="J188"/>
      <c r="K188"/>
      <c r="L188"/>
      <c r="M188"/>
      <c r="N188"/>
      <c r="O188"/>
    </row>
    <row r="189" spans="1:18" s="310" customFormat="1">
      <c r="A189" s="316" t="s">
        <v>1072</v>
      </c>
      <c r="B189" s="316"/>
      <c r="C189" s="316"/>
      <c r="D189" s="1059" t="s">
        <v>1961</v>
      </c>
      <c r="E189" s="1059"/>
      <c r="F189" s="1059"/>
      <c r="G189" s="1059"/>
      <c r="H189" s="224"/>
      <c r="I189"/>
      <c r="J189"/>
      <c r="K189"/>
      <c r="L189"/>
      <c r="M189"/>
      <c r="N189"/>
      <c r="O189"/>
    </row>
    <row r="190" spans="1:18" s="310" customFormat="1">
      <c r="A190" s="1065" t="s">
        <v>1150</v>
      </c>
      <c r="B190" s="1065"/>
      <c r="C190" s="1065"/>
      <c r="D190" s="1065"/>
      <c r="E190" s="1065"/>
      <c r="F190" s="1065"/>
      <c r="G190" s="1065"/>
      <c r="H190" s="224"/>
      <c r="I190"/>
      <c r="J190"/>
      <c r="K190"/>
      <c r="L190"/>
      <c r="M190"/>
      <c r="N190"/>
      <c r="O190"/>
    </row>
    <row r="191" spans="1:18" s="310" customFormat="1" ht="15" customHeight="1">
      <c r="A191" s="1065"/>
      <c r="B191" s="1065"/>
      <c r="C191" s="1065"/>
      <c r="D191" s="1065"/>
      <c r="E191" s="1065"/>
      <c r="F191" s="1065"/>
      <c r="G191" s="1065"/>
      <c r="H191" s="224"/>
      <c r="I191"/>
      <c r="J191"/>
      <c r="K191"/>
      <c r="L191"/>
      <c r="M191"/>
      <c r="N191"/>
      <c r="O191"/>
    </row>
    <row r="192" spans="1:18" s="310" customFormat="1" ht="15" customHeight="1">
      <c r="A192" s="1065"/>
      <c r="B192" s="1065"/>
      <c r="C192" s="1065"/>
      <c r="D192" s="1065"/>
      <c r="E192" s="1065"/>
      <c r="F192" s="1065"/>
      <c r="G192" s="1065"/>
      <c r="H192" s="224"/>
      <c r="I192"/>
      <c r="J192"/>
      <c r="K192"/>
      <c r="L192"/>
      <c r="M192"/>
      <c r="N192"/>
      <c r="O192"/>
      <c r="P192"/>
      <c r="Q192"/>
      <c r="R192"/>
    </row>
    <row r="193" spans="1:18" s="310" customFormat="1" ht="15" customHeight="1">
      <c r="A193" s="1065"/>
      <c r="B193" s="1065"/>
      <c r="C193" s="1065"/>
      <c r="D193" s="1065"/>
      <c r="E193" s="1065"/>
      <c r="F193" s="1065"/>
      <c r="G193" s="1065"/>
      <c r="H193" s="224"/>
      <c r="I193"/>
      <c r="J193"/>
      <c r="K193"/>
      <c r="L193"/>
      <c r="M193"/>
      <c r="N193"/>
      <c r="O193"/>
      <c r="P193"/>
      <c r="Q193"/>
      <c r="R193"/>
    </row>
    <row r="194" spans="1:18" s="310" customFormat="1">
      <c r="A194" s="369" t="s">
        <v>1257</v>
      </c>
      <c r="B194" s="328"/>
      <c r="C194" s="328"/>
      <c r="D194" s="328"/>
      <c r="E194" s="328"/>
      <c r="F194" s="328"/>
      <c r="G194" s="328"/>
      <c r="H194" s="224"/>
      <c r="I194"/>
      <c r="J194"/>
      <c r="K194"/>
      <c r="L194"/>
      <c r="M194"/>
      <c r="N194"/>
      <c r="O194"/>
      <c r="P194"/>
      <c r="Q194"/>
      <c r="R194"/>
    </row>
    <row r="195" spans="1:18" s="310" customFormat="1" ht="15" customHeight="1">
      <c r="A195" s="1061" t="s">
        <v>683</v>
      </c>
      <c r="B195" s="1061"/>
      <c r="C195" s="1061"/>
      <c r="D195" s="1059" t="s">
        <v>1962</v>
      </c>
      <c r="E195" s="1059"/>
      <c r="F195" s="1059"/>
      <c r="G195" s="1059"/>
      <c r="H195" s="224"/>
      <c r="I195"/>
      <c r="J195"/>
      <c r="K195"/>
      <c r="L195"/>
      <c r="M195"/>
      <c r="N195"/>
      <c r="O195"/>
      <c r="P195"/>
      <c r="Q195"/>
      <c r="R195"/>
    </row>
    <row r="196" spans="1:18" s="310" customFormat="1" ht="15" customHeight="1">
      <c r="A196" s="1063" t="s">
        <v>1279</v>
      </c>
      <c r="B196" s="1063"/>
      <c r="C196" s="1063"/>
      <c r="D196" s="1063"/>
      <c r="E196" s="1063"/>
      <c r="F196" s="1063"/>
      <c r="G196" s="1063"/>
      <c r="H196" s="224"/>
      <c r="I196"/>
      <c r="J196"/>
      <c r="K196"/>
      <c r="L196"/>
      <c r="M196"/>
      <c r="N196"/>
      <c r="O196"/>
      <c r="P196"/>
      <c r="Q196"/>
      <c r="R196"/>
    </row>
    <row r="197" spans="1:18" s="310" customFormat="1" ht="15" customHeight="1">
      <c r="A197" s="1068" t="s">
        <v>1677</v>
      </c>
      <c r="B197" s="1068"/>
      <c r="C197" s="1068"/>
      <c r="D197" s="1068"/>
      <c r="E197" s="1068"/>
      <c r="F197" s="1068"/>
      <c r="G197" s="1068"/>
      <c r="H197" s="224"/>
      <c r="I197"/>
      <c r="J197"/>
      <c r="K197"/>
      <c r="L197"/>
      <c r="M197"/>
      <c r="N197"/>
      <c r="O197"/>
    </row>
    <row r="198" spans="1:18" s="310" customFormat="1" ht="15" customHeight="1">
      <c r="A198" s="1068"/>
      <c r="B198" s="1068"/>
      <c r="C198" s="1068"/>
      <c r="D198" s="1068"/>
      <c r="E198" s="1068"/>
      <c r="F198" s="1068"/>
      <c r="G198" s="1068"/>
      <c r="H198" s="224"/>
      <c r="I198"/>
      <c r="J198"/>
      <c r="K198"/>
      <c r="L198"/>
      <c r="M198"/>
      <c r="N198"/>
      <c r="O198"/>
    </row>
    <row r="199" spans="1:18" s="310" customFormat="1" ht="15" customHeight="1">
      <c r="A199" s="1067" t="s">
        <v>1963</v>
      </c>
      <c r="B199" s="1067"/>
      <c r="C199" s="1067"/>
      <c r="D199" s="1067"/>
      <c r="E199" s="1067"/>
      <c r="F199" s="1067"/>
      <c r="G199" s="1067"/>
      <c r="H199" s="224"/>
      <c r="I199"/>
      <c r="J199"/>
      <c r="K199"/>
      <c r="L199"/>
      <c r="M199"/>
      <c r="N199"/>
      <c r="O199"/>
    </row>
    <row r="200" spans="1:18" s="310" customFormat="1" ht="15" customHeight="1">
      <c r="A200" s="316" t="s">
        <v>1337</v>
      </c>
      <c r="B200" s="316"/>
      <c r="C200" s="316"/>
      <c r="D200" s="1059" t="s">
        <v>1332</v>
      </c>
      <c r="E200" s="1059"/>
      <c r="F200" s="1059"/>
      <c r="G200" s="1059"/>
      <c r="H200" s="224"/>
      <c r="I200"/>
      <c r="J200"/>
      <c r="K200"/>
      <c r="L200"/>
      <c r="M200"/>
      <c r="N200"/>
      <c r="O200"/>
    </row>
    <row r="201" spans="1:18" s="310" customFormat="1">
      <c r="A201" s="1069" t="s">
        <v>1790</v>
      </c>
      <c r="B201" s="1069"/>
      <c r="C201" s="1069"/>
      <c r="D201" s="1069"/>
      <c r="E201" s="1069"/>
      <c r="F201" s="1069"/>
      <c r="G201" s="1069"/>
      <c r="H201" s="224"/>
      <c r="I201"/>
      <c r="J201"/>
      <c r="K201"/>
      <c r="L201"/>
      <c r="M201"/>
      <c r="N201"/>
      <c r="O201"/>
    </row>
    <row r="202" spans="1:18" s="310" customFormat="1">
      <c r="A202" s="1069"/>
      <c r="B202" s="1069"/>
      <c r="C202" s="1069"/>
      <c r="D202" s="1069"/>
      <c r="E202" s="1069"/>
      <c r="F202" s="1069"/>
      <c r="G202" s="1069"/>
      <c r="H202" s="224"/>
      <c r="I202"/>
      <c r="J202"/>
      <c r="K202"/>
      <c r="L202"/>
      <c r="M202"/>
      <c r="N202"/>
      <c r="O202"/>
    </row>
    <row r="203" spans="1:18" ht="9.75" customHeight="1">
      <c r="A203" s="1069"/>
      <c r="B203" s="1069"/>
      <c r="C203" s="1069"/>
      <c r="D203" s="1069"/>
      <c r="E203" s="1069"/>
      <c r="F203" s="1069"/>
      <c r="G203" s="1069"/>
    </row>
    <row r="204" spans="1:18" s="310" customFormat="1">
      <c r="A204" s="1069"/>
      <c r="B204" s="1069"/>
      <c r="C204" s="1069"/>
      <c r="D204" s="1069"/>
      <c r="E204" s="1069"/>
      <c r="F204" s="1069"/>
      <c r="G204" s="1069"/>
      <c r="H204" s="224"/>
      <c r="I204"/>
      <c r="J204"/>
      <c r="K204"/>
      <c r="L204"/>
      <c r="M204"/>
      <c r="N204"/>
      <c r="O204"/>
    </row>
    <row r="205" spans="1:18" s="310" customFormat="1" ht="15" customHeight="1">
      <c r="A205" s="1069"/>
      <c r="B205" s="1069"/>
      <c r="C205" s="1069"/>
      <c r="D205" s="1069"/>
      <c r="E205" s="1069"/>
      <c r="F205" s="1069"/>
      <c r="G205" s="1069"/>
      <c r="H205" s="224"/>
      <c r="I205"/>
      <c r="J205"/>
      <c r="K205"/>
      <c r="L205"/>
      <c r="M205"/>
      <c r="N205"/>
      <c r="O205"/>
    </row>
    <row r="206" spans="1:18" s="310" customFormat="1" ht="15" customHeight="1">
      <c r="A206" s="334"/>
      <c r="B206" s="325"/>
      <c r="C206" s="325"/>
      <c r="D206" s="325"/>
      <c r="E206" s="325"/>
      <c r="F206" s="325"/>
      <c r="G206" s="325"/>
      <c r="H206" s="224"/>
      <c r="I206"/>
      <c r="J206"/>
      <c r="K206"/>
      <c r="L206"/>
      <c r="M206"/>
      <c r="N206"/>
      <c r="O206"/>
    </row>
    <row r="207" spans="1:18" s="310" customFormat="1" ht="15" customHeight="1">
      <c r="A207" s="334"/>
      <c r="B207" s="325"/>
      <c r="C207" s="325"/>
      <c r="D207" s="325"/>
      <c r="E207" s="325"/>
      <c r="F207" s="325"/>
      <c r="G207" s="325"/>
      <c r="H207" s="224"/>
      <c r="I207"/>
      <c r="J207"/>
      <c r="K207"/>
      <c r="L207"/>
      <c r="M207"/>
      <c r="N207"/>
      <c r="O207"/>
    </row>
    <row r="208" spans="1:18" s="310" customFormat="1" ht="15" customHeight="1">
      <c r="A208" s="334" t="s">
        <v>738</v>
      </c>
      <c r="B208" s="325"/>
      <c r="C208" s="325"/>
      <c r="D208" s="325"/>
      <c r="E208" s="325"/>
      <c r="F208" s="325"/>
      <c r="G208" s="325"/>
      <c r="H208" s="224"/>
      <c r="I208"/>
      <c r="J208"/>
      <c r="K208"/>
      <c r="L208"/>
      <c r="M208"/>
      <c r="N208"/>
      <c r="O208"/>
    </row>
    <row r="209" spans="1:15" s="310" customFormat="1" ht="15" customHeight="1">
      <c r="A209" s="1061" t="s">
        <v>1171</v>
      </c>
      <c r="B209" s="1061"/>
      <c r="C209" s="1061"/>
      <c r="D209" s="1061"/>
      <c r="E209" s="1059" t="s">
        <v>1747</v>
      </c>
      <c r="F209" s="1059"/>
      <c r="G209" s="1059"/>
      <c r="H209" s="224"/>
      <c r="I209"/>
      <c r="J209"/>
      <c r="K209"/>
      <c r="L209"/>
      <c r="M209"/>
      <c r="N209"/>
      <c r="O209"/>
    </row>
    <row r="210" spans="1:15" s="310" customFormat="1" ht="15" customHeight="1">
      <c r="A210" s="327" t="s">
        <v>1206</v>
      </c>
      <c r="B210" s="396"/>
      <c r="C210" s="396"/>
      <c r="D210" s="396"/>
      <c r="E210" s="396"/>
      <c r="F210" s="396"/>
      <c r="G210" s="396"/>
      <c r="H210" s="224"/>
      <c r="I210"/>
      <c r="J210"/>
      <c r="K210"/>
      <c r="L210"/>
      <c r="M210"/>
      <c r="N210"/>
      <c r="O210"/>
    </row>
    <row r="211" spans="1:15" s="310" customFormat="1" ht="15" customHeight="1">
      <c r="A211" s="327" t="s">
        <v>1207</v>
      </c>
      <c r="B211" s="396"/>
      <c r="C211" s="396"/>
      <c r="D211" s="396"/>
      <c r="E211" s="396"/>
      <c r="F211" s="396"/>
      <c r="G211" s="396"/>
      <c r="H211" s="224"/>
      <c r="I211"/>
      <c r="J211"/>
      <c r="K211"/>
      <c r="L211"/>
      <c r="M211"/>
      <c r="N211"/>
      <c r="O211"/>
    </row>
    <row r="212" spans="1:15" s="310" customFormat="1" ht="15" customHeight="1">
      <c r="A212" s="1065" t="s">
        <v>1208</v>
      </c>
      <c r="B212" s="1065"/>
      <c r="C212" s="1065"/>
      <c r="D212" s="1065"/>
      <c r="E212" s="1065"/>
      <c r="F212" s="1065"/>
      <c r="G212" s="1065"/>
      <c r="H212" s="224"/>
      <c r="I212"/>
      <c r="J212"/>
      <c r="K212"/>
      <c r="L212"/>
      <c r="M212"/>
      <c r="N212"/>
      <c r="O212"/>
    </row>
    <row r="213" spans="1:15" s="310" customFormat="1" ht="15" customHeight="1">
      <c r="A213" s="1065"/>
      <c r="B213" s="1065"/>
      <c r="C213" s="1065"/>
      <c r="D213" s="1065"/>
      <c r="E213" s="1065"/>
      <c r="F213" s="1065"/>
      <c r="G213" s="1065"/>
      <c r="H213" s="224"/>
      <c r="I213"/>
      <c r="J213"/>
      <c r="K213"/>
      <c r="L213"/>
      <c r="M213"/>
      <c r="N213"/>
      <c r="O213"/>
    </row>
    <row r="214" spans="1:15" s="310" customFormat="1">
      <c r="A214" s="1065"/>
      <c r="B214" s="1065"/>
      <c r="C214" s="1065"/>
      <c r="D214" s="1065"/>
      <c r="E214" s="1065"/>
      <c r="F214" s="1065"/>
      <c r="G214" s="1065"/>
      <c r="H214" s="224"/>
      <c r="I214"/>
      <c r="J214"/>
      <c r="K214"/>
      <c r="L214"/>
      <c r="M214"/>
      <c r="N214"/>
      <c r="O214"/>
    </row>
    <row r="215" spans="1:15" s="310" customFormat="1">
      <c r="A215" s="1085" t="s">
        <v>1273</v>
      </c>
      <c r="B215" s="1085"/>
      <c r="C215" s="1085"/>
      <c r="D215" s="1085"/>
      <c r="E215" s="1085"/>
      <c r="F215" s="1085"/>
      <c r="G215" s="1085"/>
      <c r="H215" s="224"/>
      <c r="I215"/>
      <c r="J215"/>
      <c r="K215"/>
      <c r="L215"/>
      <c r="M215"/>
      <c r="N215"/>
      <c r="O215"/>
    </row>
    <row r="216" spans="1:15" s="310" customFormat="1" ht="15" customHeight="1">
      <c r="A216" s="1085"/>
      <c r="B216" s="1085"/>
      <c r="C216" s="1085"/>
      <c r="D216" s="1085"/>
      <c r="E216" s="1085"/>
      <c r="F216" s="1085"/>
      <c r="G216" s="1085"/>
      <c r="H216" s="224"/>
      <c r="I216"/>
      <c r="J216"/>
      <c r="K216"/>
      <c r="L216"/>
      <c r="M216"/>
      <c r="N216"/>
      <c r="O216"/>
    </row>
    <row r="217" spans="1:15" s="310" customFormat="1" ht="15" customHeight="1">
      <c r="A217" s="1070" t="s">
        <v>1209</v>
      </c>
      <c r="B217" s="1070"/>
      <c r="C217" s="1070"/>
      <c r="D217" s="1070"/>
      <c r="E217" s="1070"/>
      <c r="F217" s="1070"/>
      <c r="G217" s="1070"/>
      <c r="H217" s="224"/>
      <c r="I217"/>
      <c r="J217"/>
      <c r="K217"/>
      <c r="L217"/>
      <c r="M217"/>
      <c r="N217"/>
      <c r="O217"/>
    </row>
    <row r="218" spans="1:15" s="310" customFormat="1" ht="15" customHeight="1">
      <c r="A218" s="1070"/>
      <c r="B218" s="1070"/>
      <c r="C218" s="1070"/>
      <c r="D218" s="1070"/>
      <c r="E218" s="1070"/>
      <c r="F218" s="1070"/>
      <c r="G218" s="1070"/>
      <c r="H218" s="224"/>
      <c r="I218"/>
      <c r="J218"/>
      <c r="K218"/>
      <c r="L218"/>
      <c r="M218"/>
      <c r="N218"/>
      <c r="O218"/>
    </row>
    <row r="219" spans="1:15" s="310" customFormat="1" ht="15" customHeight="1">
      <c r="A219" s="1070"/>
      <c r="B219" s="1070"/>
      <c r="C219" s="1070"/>
      <c r="D219" s="1070"/>
      <c r="E219" s="1070"/>
      <c r="F219" s="1070"/>
      <c r="G219" s="1070"/>
      <c r="H219" s="224"/>
      <c r="I219"/>
      <c r="J219"/>
      <c r="K219"/>
      <c r="L219"/>
      <c r="M219"/>
      <c r="N219"/>
      <c r="O219"/>
    </row>
    <row r="220" spans="1:15" s="310" customFormat="1">
      <c r="A220" s="1070" t="s">
        <v>1170</v>
      </c>
      <c r="B220" s="1070"/>
      <c r="C220" s="1070"/>
      <c r="D220" s="1070"/>
      <c r="E220" s="1070"/>
      <c r="F220" s="1070"/>
      <c r="G220" s="1070"/>
      <c r="H220" s="224"/>
      <c r="I220"/>
      <c r="J220"/>
      <c r="K220"/>
      <c r="L220"/>
      <c r="M220"/>
      <c r="N220"/>
      <c r="O220"/>
    </row>
    <row r="221" spans="1:15" s="310" customFormat="1" ht="15" customHeight="1">
      <c r="A221" s="1070"/>
      <c r="B221" s="1070"/>
      <c r="C221" s="1070"/>
      <c r="D221" s="1070"/>
      <c r="E221" s="1070"/>
      <c r="F221" s="1070"/>
      <c r="G221" s="1070"/>
      <c r="H221" s="224"/>
      <c r="I221"/>
      <c r="J221"/>
      <c r="K221"/>
      <c r="L221"/>
      <c r="M221"/>
      <c r="N221"/>
      <c r="O221"/>
    </row>
    <row r="222" spans="1:15" s="310" customFormat="1" ht="15.75" thickBot="1">
      <c r="A222" s="1070"/>
      <c r="B222" s="1070"/>
      <c r="C222" s="1070"/>
      <c r="D222" s="1070"/>
      <c r="E222" s="1070"/>
      <c r="F222" s="1070"/>
      <c r="G222" s="1070"/>
      <c r="H222" s="224"/>
      <c r="I222"/>
      <c r="J222"/>
      <c r="K222"/>
      <c r="L222"/>
      <c r="M222"/>
      <c r="N222"/>
      <c r="O222"/>
    </row>
    <row r="223" spans="1:15" s="310" customFormat="1">
      <c r="A223" s="384"/>
      <c r="B223" s="569" t="s">
        <v>1211</v>
      </c>
      <c r="C223" s="570"/>
      <c r="D223" s="570"/>
      <c r="E223" s="570"/>
      <c r="F223" s="571"/>
      <c r="G223" s="385"/>
      <c r="H223" s="224"/>
      <c r="I223"/>
      <c r="J223"/>
      <c r="K223"/>
      <c r="L223"/>
      <c r="M223"/>
      <c r="N223"/>
      <c r="O223"/>
    </row>
    <row r="224" spans="1:15" s="310" customFormat="1" ht="15" customHeight="1">
      <c r="A224" s="384"/>
      <c r="B224" s="1082" t="s">
        <v>1210</v>
      </c>
      <c r="C224" s="1083"/>
      <c r="D224" s="1083"/>
      <c r="E224" s="1083"/>
      <c r="F224" s="1084"/>
      <c r="G224" s="384"/>
      <c r="H224" s="224"/>
      <c r="I224"/>
      <c r="J224"/>
      <c r="K224"/>
      <c r="L224"/>
      <c r="M224"/>
      <c r="N224"/>
      <c r="O224"/>
    </row>
    <row r="225" spans="1:15" s="310" customFormat="1" ht="15" customHeight="1">
      <c r="A225" s="384"/>
      <c r="B225" s="1082" t="s">
        <v>1168</v>
      </c>
      <c r="C225" s="1083"/>
      <c r="D225" s="1083"/>
      <c r="E225" s="1083"/>
      <c r="F225" s="1084"/>
      <c r="G225" s="384"/>
      <c r="H225" s="224"/>
      <c r="I225"/>
      <c r="J225"/>
      <c r="K225"/>
      <c r="L225"/>
      <c r="M225"/>
      <c r="N225"/>
      <c r="O225"/>
    </row>
    <row r="226" spans="1:15" s="310" customFormat="1" ht="15.75" thickBot="1">
      <c r="A226" s="384"/>
      <c r="B226" s="1072" t="s">
        <v>1169</v>
      </c>
      <c r="C226" s="1073"/>
      <c r="D226" s="1073"/>
      <c r="E226" s="1073"/>
      <c r="F226" s="1074"/>
      <c r="G226" s="384"/>
      <c r="H226" s="224"/>
      <c r="I226"/>
      <c r="J226"/>
      <c r="K226"/>
      <c r="L226"/>
      <c r="M226"/>
      <c r="N226"/>
      <c r="O226"/>
    </row>
    <row r="227" spans="1:15" s="310" customFormat="1">
      <c r="A227" s="378"/>
      <c r="B227" s="325"/>
      <c r="C227" s="325"/>
      <c r="D227" s="325"/>
      <c r="E227" s="325"/>
      <c r="F227" s="325"/>
      <c r="G227" s="378"/>
      <c r="H227" s="224"/>
      <c r="I227"/>
      <c r="J227"/>
      <c r="K227"/>
      <c r="L227"/>
      <c r="M227"/>
      <c r="N227"/>
      <c r="O227"/>
    </row>
    <row r="228" spans="1:15" s="310" customFormat="1">
      <c r="A228" s="1061" t="s">
        <v>1970</v>
      </c>
      <c r="B228" s="1061"/>
      <c r="C228" s="1061"/>
      <c r="D228" s="1061"/>
      <c r="E228" s="1059" t="s">
        <v>1971</v>
      </c>
      <c r="F228" s="1059"/>
      <c r="G228" s="1059"/>
      <c r="H228" s="224"/>
      <c r="I228"/>
      <c r="J228"/>
      <c r="K228"/>
      <c r="L228"/>
      <c r="M228"/>
      <c r="N228"/>
      <c r="O228"/>
    </row>
    <row r="229" spans="1:15" s="310" customFormat="1">
      <c r="A229" s="1065" t="s">
        <v>1983</v>
      </c>
      <c r="B229" s="1065"/>
      <c r="C229" s="1065"/>
      <c r="D229" s="1065"/>
      <c r="E229" s="1065"/>
      <c r="F229" s="1065"/>
      <c r="G229" s="1065"/>
      <c r="H229" s="224"/>
      <c r="I229"/>
      <c r="J229"/>
      <c r="K229"/>
      <c r="L229"/>
      <c r="M229"/>
      <c r="N229"/>
      <c r="O229"/>
    </row>
    <row r="230" spans="1:15" s="310" customFormat="1">
      <c r="A230" s="1065"/>
      <c r="B230" s="1065"/>
      <c r="C230" s="1065"/>
      <c r="D230" s="1065"/>
      <c r="E230" s="1065"/>
      <c r="F230" s="1065"/>
      <c r="G230" s="1065"/>
      <c r="H230" s="224"/>
      <c r="I230"/>
      <c r="J230"/>
      <c r="K230"/>
      <c r="L230"/>
      <c r="M230"/>
      <c r="N230"/>
      <c r="O230"/>
    </row>
    <row r="231" spans="1:15" s="310" customFormat="1">
      <c r="A231" s="1065"/>
      <c r="B231" s="1065"/>
      <c r="C231" s="1065"/>
      <c r="D231" s="1065"/>
      <c r="E231" s="1065"/>
      <c r="F231" s="1065"/>
      <c r="G231" s="1065"/>
      <c r="H231" s="224"/>
      <c r="I231"/>
      <c r="J231"/>
      <c r="K231"/>
      <c r="L231"/>
      <c r="M231"/>
      <c r="N231"/>
      <c r="O231"/>
    </row>
    <row r="232" spans="1:15" s="310" customFormat="1">
      <c r="A232" s="1065"/>
      <c r="B232" s="1065"/>
      <c r="C232" s="1065"/>
      <c r="D232" s="1065"/>
      <c r="E232" s="1065"/>
      <c r="F232" s="1065"/>
      <c r="G232" s="1065"/>
      <c r="H232" s="224"/>
      <c r="I232"/>
      <c r="J232"/>
      <c r="K232"/>
      <c r="L232"/>
      <c r="M232"/>
      <c r="N232"/>
      <c r="O232"/>
    </row>
    <row r="233" spans="1:15" s="310" customFormat="1" ht="15" customHeight="1">
      <c r="A233" s="1065"/>
      <c r="B233" s="1065"/>
      <c r="C233" s="1065"/>
      <c r="D233" s="1065"/>
      <c r="E233" s="1065"/>
      <c r="F233" s="1065"/>
      <c r="G233" s="1065"/>
      <c r="H233" s="224"/>
      <c r="I233"/>
      <c r="J233"/>
      <c r="K233"/>
      <c r="L233"/>
      <c r="M233"/>
      <c r="N233"/>
      <c r="O233"/>
    </row>
    <row r="234" spans="1:15" s="310" customFormat="1">
      <c r="A234" s="1065"/>
      <c r="B234" s="1065"/>
      <c r="C234" s="1065"/>
      <c r="D234" s="1065"/>
      <c r="E234" s="1065"/>
      <c r="F234" s="1065"/>
      <c r="G234" s="1065"/>
      <c r="H234" s="224"/>
      <c r="I234"/>
      <c r="J234"/>
      <c r="K234"/>
      <c r="L234"/>
      <c r="M234"/>
      <c r="N234"/>
      <c r="O234"/>
    </row>
    <row r="235" spans="1:15" s="310" customFormat="1">
      <c r="A235" s="572"/>
      <c r="F235" s="309"/>
      <c r="G235" s="309"/>
      <c r="H235" s="224"/>
      <c r="I235"/>
      <c r="J235"/>
      <c r="K235"/>
      <c r="L235"/>
      <c r="M235"/>
      <c r="N235"/>
      <c r="O235"/>
    </row>
    <row r="236" spans="1:15" s="310" customFormat="1">
      <c r="A236" s="1061" t="s">
        <v>1197</v>
      </c>
      <c r="B236" s="1061"/>
      <c r="C236" s="1061"/>
      <c r="D236" s="1061"/>
      <c r="E236" s="1059" t="s">
        <v>1964</v>
      </c>
      <c r="F236" s="1059"/>
      <c r="G236" s="1059"/>
      <c r="H236" s="224"/>
      <c r="I236"/>
      <c r="J236"/>
      <c r="K236"/>
      <c r="L236"/>
      <c r="M236"/>
      <c r="N236"/>
      <c r="O236"/>
    </row>
    <row r="237" spans="1:15" s="310" customFormat="1">
      <c r="A237" s="1058" t="s">
        <v>1050</v>
      </c>
      <c r="B237" s="1058"/>
      <c r="C237" s="1058"/>
      <c r="D237" s="1058"/>
      <c r="E237" s="1058"/>
      <c r="F237" s="1058"/>
      <c r="G237" s="1058"/>
      <c r="H237" s="224"/>
      <c r="I237"/>
      <c r="J237"/>
      <c r="K237"/>
      <c r="L237"/>
      <c r="M237"/>
      <c r="N237"/>
      <c r="O237"/>
    </row>
    <row r="238" spans="1:15" s="310" customFormat="1">
      <c r="A238" s="1058"/>
      <c r="B238" s="1058"/>
      <c r="C238" s="1058"/>
      <c r="D238" s="1058"/>
      <c r="E238" s="1058"/>
      <c r="F238" s="1058"/>
      <c r="G238" s="1058"/>
      <c r="H238" s="224"/>
      <c r="I238"/>
      <c r="J238"/>
      <c r="K238"/>
      <c r="L238"/>
      <c r="M238"/>
      <c r="N238"/>
      <c r="O238"/>
    </row>
    <row r="239" spans="1:15" s="310" customFormat="1" ht="24" customHeight="1">
      <c r="A239" s="1058"/>
      <c r="B239" s="1058"/>
      <c r="C239" s="1058"/>
      <c r="D239" s="1058"/>
      <c r="E239" s="1058"/>
      <c r="F239" s="1058"/>
      <c r="G239" s="1058"/>
      <c r="H239" s="224"/>
      <c r="I239"/>
      <c r="J239"/>
      <c r="K239"/>
      <c r="L239"/>
      <c r="M239"/>
      <c r="N239"/>
      <c r="O239"/>
    </row>
    <row r="240" spans="1:15" s="310" customFormat="1">
      <c r="A240" s="1063" t="s">
        <v>1769</v>
      </c>
      <c r="B240" s="1063"/>
      <c r="C240" s="1063"/>
      <c r="D240" s="1063"/>
      <c r="E240" s="1063"/>
      <c r="F240" s="1063"/>
      <c r="G240" s="1063"/>
      <c r="H240" s="224"/>
      <c r="I240"/>
      <c r="J240"/>
      <c r="K240"/>
      <c r="L240"/>
      <c r="M240"/>
      <c r="N240"/>
      <c r="O240"/>
    </row>
    <row r="241" spans="1:15" s="310" customFormat="1" ht="15" customHeight="1">
      <c r="A241" s="1067"/>
      <c r="B241" s="1067"/>
      <c r="C241" s="1067"/>
      <c r="D241" s="1067"/>
      <c r="E241" s="1067"/>
      <c r="F241" s="1067"/>
      <c r="G241" s="1067"/>
      <c r="H241" s="224"/>
      <c r="I241"/>
      <c r="J241"/>
      <c r="K241"/>
      <c r="L241"/>
      <c r="M241"/>
      <c r="N241"/>
      <c r="O241"/>
    </row>
    <row r="242" spans="1:15" s="310" customFormat="1">
      <c r="A242" s="1067" t="s">
        <v>1984</v>
      </c>
      <c r="B242" s="1067"/>
      <c r="C242" s="1067"/>
      <c r="D242" s="1067"/>
      <c r="E242" s="1067"/>
      <c r="F242" s="1067"/>
      <c r="G242" s="1067"/>
      <c r="H242" s="224"/>
      <c r="I242"/>
      <c r="J242"/>
      <c r="K242"/>
      <c r="L242"/>
      <c r="M242"/>
      <c r="N242"/>
      <c r="O242"/>
    </row>
    <row r="243" spans="1:15" s="310" customFormat="1">
      <c r="A243" s="316" t="s">
        <v>1166</v>
      </c>
      <c r="B243" s="316"/>
      <c r="C243" s="316"/>
      <c r="D243" s="1059" t="s">
        <v>2058</v>
      </c>
      <c r="E243" s="1059"/>
      <c r="F243" s="1059"/>
      <c r="G243" s="1059"/>
      <c r="H243" s="224"/>
      <c r="I243"/>
      <c r="J243"/>
      <c r="K243"/>
      <c r="L243"/>
      <c r="M243"/>
      <c r="N243"/>
      <c r="O243"/>
    </row>
    <row r="244" spans="1:15" s="310" customFormat="1" ht="27.75" customHeight="1">
      <c r="A244" s="1063" t="s">
        <v>1281</v>
      </c>
      <c r="B244" s="1063"/>
      <c r="C244" s="1063"/>
      <c r="D244" s="1063"/>
      <c r="E244" s="1063"/>
      <c r="F244" s="1063"/>
      <c r="G244" s="1063"/>
      <c r="H244" s="224"/>
      <c r="I244"/>
      <c r="J244"/>
      <c r="K244"/>
      <c r="L244"/>
      <c r="M244"/>
      <c r="N244"/>
      <c r="O244"/>
    </row>
    <row r="245" spans="1:15" s="310" customFormat="1" ht="15" customHeight="1">
      <c r="A245" s="1058" t="s">
        <v>1167</v>
      </c>
      <c r="B245" s="1058"/>
      <c r="C245" s="1058"/>
      <c r="D245" s="1058"/>
      <c r="E245" s="1058"/>
      <c r="F245" s="1058"/>
      <c r="G245" s="1058"/>
      <c r="H245" s="224"/>
      <c r="I245"/>
      <c r="J245"/>
      <c r="K245"/>
      <c r="L245"/>
      <c r="M245"/>
      <c r="N245"/>
      <c r="O245"/>
    </row>
    <row r="246" spans="1:15" ht="8.25" customHeight="1">
      <c r="A246" s="1058"/>
      <c r="B246" s="1058"/>
      <c r="C246" s="1058"/>
      <c r="D246" s="1058"/>
      <c r="E246" s="1058"/>
      <c r="F246" s="1058"/>
      <c r="G246" s="1058"/>
    </row>
    <row r="247" spans="1:15" s="310" customFormat="1">
      <c r="A247" s="1058"/>
      <c r="B247" s="1058"/>
      <c r="C247" s="1058"/>
      <c r="D247" s="1058"/>
      <c r="E247" s="1058"/>
      <c r="F247" s="1058"/>
      <c r="G247" s="1058"/>
      <c r="H247" s="224"/>
      <c r="I247"/>
      <c r="J247"/>
      <c r="K247"/>
      <c r="L247"/>
      <c r="M247"/>
      <c r="N247"/>
      <c r="O247"/>
    </row>
    <row r="248" spans="1:15" s="310" customFormat="1" ht="15" customHeight="1">
      <c r="A248" s="1058"/>
      <c r="B248" s="1058"/>
      <c r="C248" s="1058"/>
      <c r="D248" s="1058"/>
      <c r="E248" s="1058"/>
      <c r="F248" s="1058"/>
      <c r="G248" s="1058"/>
      <c r="H248" s="224"/>
      <c r="I248"/>
      <c r="J248"/>
      <c r="K248"/>
      <c r="L248"/>
      <c r="M248"/>
      <c r="N248"/>
      <c r="O248"/>
    </row>
    <row r="249" spans="1:15" s="310" customFormat="1" ht="15" customHeight="1">
      <c r="A249" s="316" t="s">
        <v>1528</v>
      </c>
      <c r="B249" s="316"/>
      <c r="C249" s="316"/>
      <c r="D249" s="368"/>
      <c r="E249" s="368"/>
      <c r="F249" s="368"/>
      <c r="G249" s="751" t="s">
        <v>1353</v>
      </c>
      <c r="H249" s="224"/>
      <c r="I249"/>
      <c r="J249"/>
      <c r="K249"/>
      <c r="L249"/>
      <c r="M249"/>
      <c r="N249"/>
      <c r="O249"/>
    </row>
    <row r="250" spans="1:15" s="310" customFormat="1" ht="11.25" customHeight="1">
      <c r="A250" s="1063" t="s">
        <v>1356</v>
      </c>
      <c r="B250" s="1063"/>
      <c r="C250" s="1063"/>
      <c r="D250" s="1063"/>
      <c r="E250" s="1063"/>
      <c r="F250" s="1063"/>
      <c r="G250" s="1063"/>
      <c r="H250" s="224"/>
      <c r="I250"/>
      <c r="J250"/>
      <c r="K250"/>
      <c r="L250"/>
      <c r="M250"/>
      <c r="N250"/>
      <c r="O250"/>
    </row>
    <row r="251" spans="1:15" s="310" customFormat="1">
      <c r="A251" s="830"/>
      <c r="B251" s="830"/>
      <c r="C251" s="830"/>
      <c r="D251" s="830"/>
      <c r="E251" s="830"/>
      <c r="F251" s="830"/>
      <c r="G251" s="830"/>
      <c r="H251" s="224"/>
      <c r="I251"/>
      <c r="J251"/>
      <c r="K251"/>
      <c r="L251"/>
      <c r="M251"/>
      <c r="N251"/>
      <c r="O251"/>
    </row>
    <row r="252" spans="1:15" s="310" customFormat="1">
      <c r="A252" s="316" t="s">
        <v>1678</v>
      </c>
      <c r="B252" s="316"/>
      <c r="C252" s="316"/>
      <c r="D252" s="368"/>
      <c r="E252" s="368"/>
      <c r="F252" s="368"/>
      <c r="G252" s="829" t="s">
        <v>1965</v>
      </c>
      <c r="H252" s="224"/>
      <c r="I252"/>
      <c r="J252"/>
      <c r="K252"/>
      <c r="L252"/>
      <c r="M252"/>
      <c r="N252"/>
      <c r="O252"/>
    </row>
    <row r="253" spans="1:15" s="750" customFormat="1">
      <c r="A253" s="1435" t="s">
        <v>1972</v>
      </c>
      <c r="B253" s="1436"/>
      <c r="C253" s="1436"/>
      <c r="D253" s="1436"/>
      <c r="E253" s="1436"/>
      <c r="F253" s="1436"/>
      <c r="G253" s="1436"/>
      <c r="H253" s="224"/>
      <c r="I253"/>
      <c r="J253"/>
      <c r="K253"/>
      <c r="L253"/>
      <c r="M253"/>
      <c r="N253"/>
      <c r="O253"/>
    </row>
    <row r="254" spans="1:15" s="310" customFormat="1" ht="15" customHeight="1">
      <c r="A254" s="1436"/>
      <c r="B254" s="1436"/>
      <c r="C254" s="1436"/>
      <c r="D254" s="1436"/>
      <c r="E254" s="1436"/>
      <c r="F254" s="1436"/>
      <c r="G254" s="1436"/>
      <c r="H254" s="224"/>
      <c r="I254"/>
      <c r="J254"/>
      <c r="K254"/>
      <c r="L254"/>
      <c r="M254"/>
      <c r="N254"/>
      <c r="O254"/>
    </row>
    <row r="255" spans="1:15" s="310" customFormat="1">
      <c r="A255" s="1436"/>
      <c r="B255" s="1436"/>
      <c r="C255" s="1436"/>
      <c r="D255" s="1436"/>
      <c r="E255" s="1436"/>
      <c r="F255" s="1436"/>
      <c r="G255" s="1436"/>
      <c r="H255" s="224"/>
      <c r="I255"/>
      <c r="J255"/>
      <c r="K255"/>
      <c r="L255"/>
      <c r="M255"/>
      <c r="N255"/>
      <c r="O255"/>
    </row>
    <row r="256" spans="1:15" s="310" customFormat="1">
      <c r="A256" s="839"/>
      <c r="B256" s="839"/>
      <c r="C256" s="839"/>
      <c r="D256" s="839"/>
      <c r="E256" s="839"/>
      <c r="F256" s="839"/>
      <c r="G256" s="839"/>
      <c r="H256" s="224"/>
      <c r="I256"/>
      <c r="J256"/>
      <c r="K256"/>
      <c r="L256"/>
      <c r="M256"/>
      <c r="N256"/>
      <c r="O256"/>
    </row>
    <row r="257" spans="1:15" s="310" customFormat="1" ht="15" customHeight="1">
      <c r="A257" s="334" t="s">
        <v>1489</v>
      </c>
      <c r="H257" s="224"/>
      <c r="I257"/>
      <c r="J257"/>
      <c r="K257"/>
      <c r="L257"/>
      <c r="M257"/>
      <c r="N257"/>
      <c r="O257"/>
    </row>
    <row r="258" spans="1:15" s="336" customFormat="1" ht="15" customHeight="1">
      <c r="A258" s="1061" t="s">
        <v>1176</v>
      </c>
      <c r="B258" s="1061"/>
      <c r="C258" s="1061"/>
      <c r="D258" s="1059" t="s">
        <v>1966</v>
      </c>
      <c r="E258" s="1059"/>
      <c r="F258" s="1059"/>
      <c r="G258" s="1059"/>
      <c r="H258" s="224"/>
      <c r="I258"/>
      <c r="J258"/>
      <c r="K258"/>
      <c r="L258"/>
      <c r="M258"/>
      <c r="N258"/>
      <c r="O258"/>
    </row>
    <row r="259" spans="1:15" s="310" customFormat="1">
      <c r="A259" s="1063" t="s">
        <v>1047</v>
      </c>
      <c r="B259" s="1063"/>
      <c r="C259" s="1063"/>
      <c r="D259" s="1063"/>
      <c r="E259" s="1063"/>
      <c r="F259" s="1063"/>
      <c r="G259" s="1063"/>
      <c r="H259" s="224"/>
      <c r="I259"/>
      <c r="J259"/>
      <c r="K259"/>
      <c r="L259"/>
      <c r="M259"/>
      <c r="N259"/>
      <c r="O259"/>
    </row>
    <row r="260" spans="1:15" s="310" customFormat="1" ht="15" customHeight="1">
      <c r="A260" s="1063"/>
      <c r="B260" s="1063"/>
      <c r="C260" s="1063"/>
      <c r="D260" s="1063"/>
      <c r="E260" s="1063"/>
      <c r="F260" s="1063"/>
      <c r="G260" s="1063"/>
      <c r="H260" s="224"/>
      <c r="I260"/>
      <c r="J260"/>
      <c r="K260"/>
      <c r="L260"/>
      <c r="M260"/>
      <c r="N260"/>
      <c r="O260"/>
    </row>
    <row r="261" spans="1:15" s="310" customFormat="1">
      <c r="A261" s="1061" t="s">
        <v>181</v>
      </c>
      <c r="B261" s="1061"/>
      <c r="C261" s="1061"/>
      <c r="D261" s="1059" t="s">
        <v>1966</v>
      </c>
      <c r="E261" s="1059"/>
      <c r="F261" s="1059"/>
      <c r="G261" s="1059"/>
      <c r="H261" s="224"/>
      <c r="I261"/>
      <c r="J261"/>
      <c r="K261"/>
      <c r="L261"/>
      <c r="M261"/>
      <c r="N261"/>
      <c r="O261"/>
    </row>
    <row r="262" spans="1:15" s="310" customFormat="1" ht="15" customHeight="1">
      <c r="A262" s="365" t="s">
        <v>1185</v>
      </c>
      <c r="B262" s="754"/>
      <c r="C262" s="754"/>
      <c r="D262" s="754"/>
      <c r="E262" s="754"/>
      <c r="F262" s="754"/>
      <c r="G262" s="754"/>
      <c r="H262" s="224"/>
      <c r="I262"/>
      <c r="J262"/>
      <c r="K262"/>
      <c r="L262"/>
      <c r="M262"/>
      <c r="N262"/>
      <c r="O262"/>
    </row>
    <row r="263" spans="1:15" s="310" customFormat="1" ht="15" customHeight="1">
      <c r="A263" s="753" t="s">
        <v>1048</v>
      </c>
      <c r="B263" s="753"/>
      <c r="C263" s="753"/>
      <c r="D263" s="368"/>
      <c r="E263" s="368"/>
      <c r="F263" s="368"/>
      <c r="G263" s="751" t="s">
        <v>1967</v>
      </c>
      <c r="H263" s="224"/>
      <c r="I263" s="867"/>
      <c r="J263" s="867"/>
      <c r="K263" s="867"/>
      <c r="L263" s="867"/>
      <c r="M263" s="867"/>
      <c r="N263" s="867"/>
      <c r="O263" s="867"/>
    </row>
    <row r="264" spans="1:15" s="310" customFormat="1">
      <c r="A264" s="329" t="s">
        <v>1475</v>
      </c>
      <c r="B264" s="329"/>
      <c r="C264" s="329"/>
      <c r="D264" s="329"/>
      <c r="E264" s="329"/>
      <c r="F264" s="329"/>
      <c r="G264" s="329"/>
      <c r="H264" s="224"/>
      <c r="I264"/>
      <c r="J264"/>
      <c r="K264"/>
      <c r="L264"/>
      <c r="M264"/>
      <c r="N264"/>
      <c r="O264"/>
    </row>
    <row r="265" spans="1:15" s="310" customFormat="1">
      <c r="A265" s="1061" t="s">
        <v>1178</v>
      </c>
      <c r="B265" s="1061"/>
      <c r="C265" s="1061"/>
      <c r="D265" s="368"/>
      <c r="E265" s="368"/>
      <c r="F265" s="368"/>
      <c r="G265" s="751" t="s">
        <v>1968</v>
      </c>
      <c r="H265" s="224"/>
      <c r="I265"/>
      <c r="J265"/>
      <c r="K265"/>
      <c r="L265"/>
      <c r="M265"/>
      <c r="N265"/>
      <c r="O265"/>
    </row>
    <row r="266" spans="1:15" s="310" customFormat="1" ht="15.75" customHeight="1">
      <c r="A266" s="1063" t="s">
        <v>1969</v>
      </c>
      <c r="B266" s="1063"/>
      <c r="C266" s="1063"/>
      <c r="D266" s="1063"/>
      <c r="E266" s="1063"/>
      <c r="F266" s="1063"/>
      <c r="G266" s="1063"/>
      <c r="H266" s="224"/>
      <c r="I266"/>
      <c r="J266"/>
      <c r="K266"/>
      <c r="L266"/>
      <c r="M266"/>
      <c r="N266"/>
      <c r="O266"/>
    </row>
    <row r="267" spans="1:15" s="310" customFormat="1" ht="20.25" customHeight="1">
      <c r="A267" s="1063"/>
      <c r="B267" s="1063"/>
      <c r="C267" s="1063"/>
      <c r="D267" s="1063"/>
      <c r="E267" s="1063"/>
      <c r="F267" s="1063"/>
      <c r="G267" s="1063"/>
      <c r="H267" s="224"/>
      <c r="I267" s="867"/>
      <c r="J267" s="867"/>
      <c r="K267" s="867"/>
      <c r="L267" s="867"/>
      <c r="M267" s="867"/>
      <c r="N267" s="867"/>
      <c r="O267" s="867"/>
    </row>
    <row r="268" spans="1:15" s="310" customFormat="1" ht="20.25" customHeight="1">
      <c r="A268" s="1063"/>
      <c r="B268" s="1063"/>
      <c r="C268" s="1063"/>
      <c r="D268" s="1063"/>
      <c r="E268" s="1063"/>
      <c r="F268" s="1063"/>
      <c r="G268" s="1063"/>
      <c r="H268" s="224"/>
      <c r="I268" s="867"/>
      <c r="J268" s="867"/>
      <c r="K268" s="867"/>
      <c r="L268" s="867"/>
      <c r="M268" s="867"/>
      <c r="N268" s="867"/>
      <c r="O268" s="867"/>
    </row>
    <row r="269" spans="1:15" s="310" customFormat="1" ht="18" customHeight="1">
      <c r="A269" s="1063"/>
      <c r="B269" s="1063"/>
      <c r="C269" s="1063"/>
      <c r="D269" s="1063"/>
      <c r="E269" s="1063"/>
      <c r="F269" s="1063"/>
      <c r="G269" s="1063"/>
      <c r="H269" s="224"/>
      <c r="I269" s="867"/>
      <c r="J269" s="867"/>
      <c r="K269" s="867"/>
      <c r="L269" s="867"/>
      <c r="M269" s="867"/>
      <c r="N269" s="867"/>
      <c r="O269" s="867"/>
    </row>
    <row r="270" spans="1:15" s="310" customFormat="1" ht="18" customHeight="1">
      <c r="A270" s="1063"/>
      <c r="B270" s="1063"/>
      <c r="C270" s="1063"/>
      <c r="D270" s="1063"/>
      <c r="E270" s="1063"/>
      <c r="F270" s="1063"/>
      <c r="G270" s="1063"/>
      <c r="H270" s="224"/>
      <c r="I270" s="867"/>
      <c r="J270" s="867"/>
      <c r="K270" s="867"/>
      <c r="L270" s="867"/>
      <c r="M270" s="867"/>
      <c r="N270" s="867"/>
      <c r="O270" s="867"/>
    </row>
    <row r="271" spans="1:15" s="310" customFormat="1" ht="9" customHeight="1">
      <c r="A271" s="1063"/>
      <c r="B271" s="1063"/>
      <c r="C271" s="1063"/>
      <c r="D271" s="1063"/>
      <c r="E271" s="1063"/>
      <c r="F271" s="1063"/>
      <c r="G271" s="1063"/>
      <c r="H271" s="224"/>
      <c r="I271" s="867"/>
      <c r="J271" s="867"/>
      <c r="K271" s="867"/>
      <c r="L271" s="867"/>
      <c r="M271" s="867"/>
      <c r="N271" s="867"/>
      <c r="O271" s="867"/>
    </row>
    <row r="272" spans="1:15" s="310" customFormat="1" ht="15" customHeight="1">
      <c r="A272" s="1061" t="s">
        <v>1476</v>
      </c>
      <c r="B272" s="1061"/>
      <c r="C272" s="1061"/>
      <c r="D272" s="1059" t="s">
        <v>1457</v>
      </c>
      <c r="E272" s="1059"/>
      <c r="F272" s="1059"/>
      <c r="G272" s="1059"/>
      <c r="H272" s="224"/>
      <c r="I272"/>
      <c r="J272"/>
      <c r="K272"/>
      <c r="L272"/>
      <c r="M272"/>
      <c r="N272"/>
      <c r="O272"/>
    </row>
    <row r="273" spans="1:15" s="310" customFormat="1" ht="15" customHeight="1">
      <c r="A273" s="1063" t="s">
        <v>1069</v>
      </c>
      <c r="B273" s="1063"/>
      <c r="C273" s="1063"/>
      <c r="D273" s="1063"/>
      <c r="E273" s="1063"/>
      <c r="F273" s="1063"/>
      <c r="G273" s="1063"/>
      <c r="H273" s="224"/>
      <c r="I273"/>
      <c r="J273"/>
      <c r="K273"/>
      <c r="L273"/>
      <c r="M273"/>
      <c r="N273"/>
      <c r="O273"/>
    </row>
    <row r="274" spans="1:15" s="310" customFormat="1">
      <c r="A274" s="1061" t="s">
        <v>1477</v>
      </c>
      <c r="B274" s="1061"/>
      <c r="C274" s="1061"/>
      <c r="D274" s="1059" t="s">
        <v>1470</v>
      </c>
      <c r="E274" s="1059"/>
      <c r="F274" s="1059"/>
      <c r="G274" s="1059"/>
      <c r="H274" s="224"/>
      <c r="I274"/>
      <c r="J274"/>
      <c r="K274"/>
      <c r="L274"/>
      <c r="M274"/>
      <c r="N274"/>
      <c r="O274"/>
    </row>
    <row r="275" spans="1:15" s="310" customFormat="1" ht="15" customHeight="1">
      <c r="A275" s="1063" t="s">
        <v>1415</v>
      </c>
      <c r="B275" s="1063"/>
      <c r="C275" s="1063"/>
      <c r="D275" s="1063"/>
      <c r="E275" s="1063"/>
      <c r="F275" s="1063"/>
      <c r="G275" s="1063"/>
      <c r="H275" s="224"/>
      <c r="I275"/>
      <c r="J275"/>
      <c r="K275"/>
      <c r="L275"/>
      <c r="M275"/>
      <c r="N275"/>
      <c r="O275"/>
    </row>
    <row r="276" spans="1:15" s="310" customFormat="1" ht="15" customHeight="1">
      <c r="A276" s="1061" t="s">
        <v>1213</v>
      </c>
      <c r="B276" s="1061"/>
      <c r="C276" s="1061"/>
      <c r="D276" s="1061"/>
      <c r="E276" s="1059" t="s">
        <v>1671</v>
      </c>
      <c r="F276" s="1059"/>
      <c r="G276" s="1059"/>
      <c r="H276" s="224"/>
      <c r="I276"/>
      <c r="J276"/>
      <c r="K276"/>
      <c r="L276"/>
      <c r="M276"/>
      <c r="N276"/>
      <c r="O276"/>
    </row>
    <row r="277" spans="1:15" s="310" customFormat="1">
      <c r="A277" s="1060" t="s">
        <v>1372</v>
      </c>
      <c r="B277" s="1060"/>
      <c r="C277" s="1060"/>
      <c r="D277" s="1060"/>
      <c r="E277" s="1060"/>
      <c r="F277" s="1060"/>
      <c r="G277" s="1060"/>
      <c r="H277" s="224"/>
      <c r="I277"/>
      <c r="J277"/>
      <c r="K277"/>
      <c r="L277"/>
      <c r="M277"/>
      <c r="N277"/>
      <c r="O277"/>
    </row>
    <row r="278" spans="1:15" s="310" customFormat="1">
      <c r="A278" s="1060"/>
      <c r="B278" s="1060"/>
      <c r="C278" s="1060"/>
      <c r="D278" s="1060"/>
      <c r="E278" s="1060"/>
      <c r="F278" s="1060"/>
      <c r="G278" s="1060"/>
      <c r="H278" s="224"/>
      <c r="I278"/>
      <c r="J278"/>
      <c r="K278"/>
      <c r="L278"/>
      <c r="M278"/>
      <c r="N278"/>
      <c r="O278"/>
    </row>
    <row r="279" spans="1:15" s="310" customFormat="1">
      <c r="A279" s="1060"/>
      <c r="B279" s="1060"/>
      <c r="C279" s="1060"/>
      <c r="D279" s="1060"/>
      <c r="E279" s="1060"/>
      <c r="F279" s="1060"/>
      <c r="G279" s="1060"/>
      <c r="H279" s="224"/>
      <c r="I279"/>
      <c r="J279"/>
      <c r="K279"/>
      <c r="L279"/>
      <c r="M279"/>
      <c r="N279"/>
      <c r="O279"/>
    </row>
    <row r="280" spans="1:15" s="310" customFormat="1">
      <c r="A280" s="1060"/>
      <c r="B280" s="1060"/>
      <c r="C280" s="1060"/>
      <c r="D280" s="1060"/>
      <c r="E280" s="1060"/>
      <c r="F280" s="1060"/>
      <c r="G280" s="1060"/>
      <c r="H280" s="224"/>
      <c r="I280"/>
      <c r="J280"/>
      <c r="K280"/>
      <c r="L280"/>
      <c r="M280"/>
      <c r="N280"/>
      <c r="O280"/>
    </row>
    <row r="281" spans="1:15" s="310" customFormat="1" ht="15" customHeight="1">
      <c r="A281" s="1061" t="s">
        <v>181</v>
      </c>
      <c r="B281" s="1061"/>
      <c r="C281" s="1061"/>
      <c r="D281" s="1059" t="s">
        <v>1671</v>
      </c>
      <c r="E281" s="1059"/>
      <c r="F281" s="1059"/>
      <c r="G281" s="1059"/>
      <c r="H281" s="224"/>
      <c r="I281"/>
      <c r="J281"/>
      <c r="K281"/>
      <c r="L281"/>
      <c r="M281"/>
      <c r="N281"/>
      <c r="O281"/>
    </row>
    <row r="282" spans="1:15" s="310" customFormat="1">
      <c r="A282" s="329" t="s">
        <v>1357</v>
      </c>
      <c r="B282" s="752"/>
      <c r="C282" s="752"/>
      <c r="D282" s="752"/>
      <c r="E282" s="752"/>
      <c r="F282" s="752"/>
      <c r="G282" s="752"/>
      <c r="H282" s="224"/>
      <c r="I282"/>
      <c r="J282"/>
      <c r="K282"/>
      <c r="L282"/>
      <c r="M282"/>
      <c r="N282"/>
      <c r="O282"/>
    </row>
    <row r="283" spans="1:15" s="310" customFormat="1" ht="15" customHeight="1">
      <c r="A283" s="1061" t="s">
        <v>1214</v>
      </c>
      <c r="B283" s="1061"/>
      <c r="C283" s="1061"/>
      <c r="D283" s="1061"/>
      <c r="E283" s="1059" t="s">
        <v>1671</v>
      </c>
      <c r="F283" s="1059"/>
      <c r="G283" s="1059"/>
      <c r="H283" s="224"/>
      <c r="I283"/>
      <c r="J283"/>
      <c r="K283"/>
      <c r="L283"/>
      <c r="M283"/>
      <c r="N283"/>
      <c r="O283"/>
    </row>
    <row r="284" spans="1:15" s="310" customFormat="1">
      <c r="A284" s="1060" t="s">
        <v>1229</v>
      </c>
      <c r="B284" s="1060"/>
      <c r="C284" s="1060"/>
      <c r="D284" s="1060"/>
      <c r="E284" s="1060"/>
      <c r="F284" s="1060"/>
      <c r="G284" s="1060"/>
      <c r="H284" s="224"/>
      <c r="I284"/>
      <c r="J284"/>
      <c r="K284"/>
      <c r="L284"/>
      <c r="M284"/>
      <c r="N284"/>
      <c r="O284"/>
    </row>
    <row r="285" spans="1:15" s="310" customFormat="1" ht="15" customHeight="1">
      <c r="A285" s="1060"/>
      <c r="B285" s="1060"/>
      <c r="C285" s="1060"/>
      <c r="D285" s="1060"/>
      <c r="E285" s="1060"/>
      <c r="F285" s="1060"/>
      <c r="G285" s="1060"/>
      <c r="H285" s="224"/>
      <c r="I285"/>
      <c r="J285"/>
      <c r="K285"/>
      <c r="L285"/>
      <c r="M285"/>
      <c r="N285"/>
      <c r="O285"/>
    </row>
    <row r="286" spans="1:15" s="310" customFormat="1">
      <c r="A286" s="386" t="s">
        <v>1215</v>
      </c>
      <c r="B286" s="752"/>
      <c r="C286" s="752"/>
      <c r="D286" s="752"/>
      <c r="E286" s="752"/>
      <c r="F286" s="752"/>
      <c r="G286" s="752"/>
      <c r="H286" s="224"/>
      <c r="I286"/>
      <c r="J286"/>
      <c r="K286"/>
      <c r="L286"/>
      <c r="M286"/>
      <c r="N286"/>
      <c r="O286"/>
    </row>
    <row r="287" spans="1:15" s="310" customFormat="1">
      <c r="A287" s="386" t="s">
        <v>1216</v>
      </c>
      <c r="B287" s="752"/>
      <c r="C287" s="752"/>
      <c r="D287" s="752"/>
      <c r="E287" s="752"/>
      <c r="F287" s="752"/>
      <c r="G287" s="752"/>
      <c r="H287" s="224"/>
      <c r="I287"/>
      <c r="J287"/>
      <c r="K287"/>
      <c r="L287"/>
      <c r="M287"/>
      <c r="N287"/>
      <c r="O287"/>
    </row>
    <row r="288" spans="1:15" s="310" customFormat="1">
      <c r="A288" s="386" t="s">
        <v>1217</v>
      </c>
      <c r="B288" s="752"/>
      <c r="C288" s="752"/>
      <c r="D288" s="752"/>
      <c r="E288" s="752"/>
      <c r="F288" s="752"/>
      <c r="G288" s="752"/>
      <c r="H288" s="224"/>
      <c r="I288"/>
      <c r="J288"/>
      <c r="K288"/>
      <c r="L288"/>
      <c r="M288"/>
      <c r="N288"/>
      <c r="O288"/>
    </row>
    <row r="289" spans="1:15" s="310" customFormat="1">
      <c r="A289" s="386" t="s">
        <v>1218</v>
      </c>
      <c r="B289" s="752"/>
      <c r="C289" s="752"/>
      <c r="D289" s="752"/>
      <c r="E289" s="752"/>
      <c r="F289" s="752"/>
      <c r="G289" s="752"/>
      <c r="H289" s="224"/>
      <c r="I289"/>
      <c r="J289"/>
      <c r="K289"/>
      <c r="L289"/>
      <c r="M289"/>
      <c r="N289"/>
      <c r="O289"/>
    </row>
    <row r="290" spans="1:15" s="310" customFormat="1">
      <c r="A290" s="386" t="s">
        <v>1219</v>
      </c>
      <c r="B290" s="752"/>
      <c r="C290" s="752"/>
      <c r="D290" s="752"/>
      <c r="E290" s="752"/>
      <c r="F290" s="752"/>
      <c r="G290" s="752"/>
      <c r="H290" s="224"/>
      <c r="I290"/>
      <c r="J290"/>
      <c r="K290"/>
      <c r="L290"/>
      <c r="M290"/>
      <c r="N290"/>
      <c r="O290"/>
    </row>
    <row r="291" spans="1:15" s="310" customFormat="1">
      <c r="A291" s="386" t="s">
        <v>1220</v>
      </c>
      <c r="B291" s="752"/>
      <c r="C291" s="752"/>
      <c r="D291" s="752"/>
      <c r="E291" s="752"/>
      <c r="F291" s="752"/>
      <c r="G291" s="752"/>
      <c r="H291" s="224"/>
      <c r="I291"/>
      <c r="J291"/>
      <c r="K291"/>
      <c r="L291"/>
      <c r="M291"/>
      <c r="N291"/>
      <c r="O291"/>
    </row>
    <row r="292" spans="1:15" s="310" customFormat="1" ht="15" customHeight="1">
      <c r="A292" s="386" t="s">
        <v>1221</v>
      </c>
      <c r="B292" s="752"/>
      <c r="C292" s="752"/>
      <c r="D292" s="752"/>
      <c r="E292" s="752"/>
      <c r="F292" s="752"/>
      <c r="G292" s="752"/>
      <c r="H292" s="224"/>
      <c r="I292"/>
      <c r="J292"/>
      <c r="K292"/>
      <c r="L292"/>
      <c r="M292"/>
      <c r="N292"/>
      <c r="O292"/>
    </row>
    <row r="293" spans="1:15" s="310" customFormat="1">
      <c r="A293" s="386" t="s">
        <v>1222</v>
      </c>
      <c r="B293" s="752"/>
      <c r="C293" s="752"/>
      <c r="D293" s="752"/>
      <c r="E293" s="752"/>
      <c r="F293" s="752"/>
      <c r="G293" s="752"/>
      <c r="H293" s="224"/>
      <c r="I293"/>
      <c r="J293"/>
      <c r="K293"/>
      <c r="L293"/>
      <c r="M293"/>
      <c r="N293"/>
      <c r="O293"/>
    </row>
    <row r="294" spans="1:15" s="310" customFormat="1">
      <c r="A294" s="386" t="s">
        <v>1223</v>
      </c>
      <c r="B294" s="752"/>
      <c r="C294" s="752"/>
      <c r="D294" s="752"/>
      <c r="E294" s="752"/>
      <c r="F294" s="752"/>
      <c r="G294" s="752"/>
      <c r="H294" s="224"/>
      <c r="I294"/>
      <c r="J294"/>
      <c r="K294"/>
      <c r="L294"/>
      <c r="M294"/>
      <c r="N294"/>
      <c r="O294"/>
    </row>
    <row r="295" spans="1:15" s="310" customFormat="1" ht="15" customHeight="1">
      <c r="A295" s="386" t="s">
        <v>1224</v>
      </c>
      <c r="B295" s="752"/>
      <c r="C295" s="752"/>
      <c r="D295" s="752"/>
      <c r="E295" s="752"/>
      <c r="F295" s="752"/>
      <c r="G295" s="752"/>
      <c r="H295" s="224"/>
      <c r="I295"/>
      <c r="J295"/>
      <c r="K295"/>
      <c r="L295"/>
      <c r="M295"/>
      <c r="N295"/>
      <c r="O295"/>
    </row>
    <row r="296" spans="1:15" s="310" customFormat="1">
      <c r="A296" s="386" t="s">
        <v>1225</v>
      </c>
      <c r="B296" s="752"/>
      <c r="C296" s="752"/>
      <c r="D296" s="752"/>
      <c r="E296" s="752"/>
      <c r="F296" s="752"/>
      <c r="G296" s="752"/>
      <c r="H296" s="224"/>
      <c r="I296"/>
      <c r="J296"/>
      <c r="K296"/>
      <c r="L296"/>
      <c r="M296"/>
      <c r="N296"/>
      <c r="O296"/>
    </row>
    <row r="297" spans="1:15" s="310" customFormat="1">
      <c r="A297" s="386" t="s">
        <v>1226</v>
      </c>
      <c r="B297" s="752"/>
      <c r="C297" s="752"/>
      <c r="D297" s="752"/>
      <c r="E297" s="752"/>
      <c r="F297" s="752"/>
      <c r="G297" s="752"/>
      <c r="H297" s="224"/>
      <c r="I297"/>
      <c r="J297"/>
      <c r="K297"/>
      <c r="L297"/>
      <c r="M297"/>
      <c r="N297"/>
      <c r="O297"/>
    </row>
    <row r="298" spans="1:15" s="310" customFormat="1" ht="15" customHeight="1">
      <c r="A298" s="386" t="s">
        <v>1227</v>
      </c>
      <c r="B298" s="752"/>
      <c r="C298" s="752"/>
      <c r="D298" s="752"/>
      <c r="E298" s="752"/>
      <c r="F298" s="752"/>
      <c r="G298" s="752"/>
      <c r="H298" s="224"/>
      <c r="I298"/>
      <c r="J298"/>
      <c r="K298"/>
      <c r="L298"/>
      <c r="M298"/>
      <c r="N298"/>
      <c r="O298"/>
    </row>
    <row r="299" spans="1:15" s="310" customFormat="1">
      <c r="A299" s="386" t="s">
        <v>1228</v>
      </c>
      <c r="B299" s="752"/>
      <c r="C299" s="752"/>
      <c r="D299" s="752"/>
      <c r="E299" s="752"/>
      <c r="F299" s="752"/>
      <c r="G299" s="752"/>
      <c r="H299" s="224"/>
      <c r="I299"/>
      <c r="J299"/>
      <c r="K299"/>
      <c r="L299"/>
      <c r="M299"/>
      <c r="N299"/>
      <c r="O299"/>
    </row>
    <row r="300" spans="1:15" s="310" customFormat="1">
      <c r="A300" s="1061" t="s">
        <v>181</v>
      </c>
      <c r="B300" s="1061"/>
      <c r="C300" s="1061"/>
      <c r="D300" s="1059" t="s">
        <v>1671</v>
      </c>
      <c r="E300" s="1059"/>
      <c r="F300" s="1059"/>
      <c r="G300" s="1059"/>
      <c r="H300" s="224"/>
      <c r="I300"/>
      <c r="J300"/>
      <c r="K300"/>
      <c r="L300"/>
      <c r="M300"/>
      <c r="N300"/>
      <c r="O300"/>
    </row>
    <row r="301" spans="1:15" s="310" customFormat="1">
      <c r="A301" s="1063" t="s">
        <v>1373</v>
      </c>
      <c r="B301" s="1063"/>
      <c r="C301" s="1063"/>
      <c r="D301" s="1063"/>
      <c r="E301" s="1063"/>
      <c r="F301" s="1063"/>
      <c r="G301" s="1063"/>
      <c r="H301" s="224"/>
      <c r="I301" s="867"/>
      <c r="J301" s="867"/>
      <c r="K301" s="867"/>
      <c r="L301" s="867"/>
      <c r="M301" s="867"/>
      <c r="N301" s="867"/>
      <c r="O301" s="867"/>
    </row>
    <row r="302" spans="1:15" s="310" customFormat="1">
      <c r="A302" s="1063"/>
      <c r="B302" s="1063"/>
      <c r="C302" s="1063"/>
      <c r="D302" s="1063"/>
      <c r="E302" s="1063"/>
      <c r="F302" s="1063"/>
      <c r="G302" s="1063"/>
      <c r="H302" s="224"/>
      <c r="I302"/>
      <c r="J302"/>
      <c r="K302"/>
      <c r="L302"/>
      <c r="M302"/>
      <c r="N302"/>
      <c r="O302"/>
    </row>
    <row r="303" spans="1:15" s="310" customFormat="1">
      <c r="A303" s="1061" t="s">
        <v>1075</v>
      </c>
      <c r="B303" s="1061"/>
      <c r="C303" s="1061"/>
      <c r="D303" s="1061"/>
      <c r="E303" s="1059" t="s">
        <v>1670</v>
      </c>
      <c r="F303" s="1059"/>
      <c r="G303" s="1059"/>
      <c r="H303" s="224"/>
      <c r="I303"/>
      <c r="J303"/>
      <c r="K303"/>
      <c r="L303"/>
      <c r="M303"/>
      <c r="N303"/>
      <c r="O303"/>
    </row>
    <row r="304" spans="1:15" s="310" customFormat="1">
      <c r="A304" s="1077" t="s">
        <v>1058</v>
      </c>
      <c r="B304" s="1077"/>
      <c r="C304" s="1077"/>
      <c r="D304" s="1077"/>
      <c r="E304" s="1077"/>
      <c r="F304" s="1077"/>
      <c r="G304" s="1077"/>
      <c r="H304" s="224"/>
      <c r="I304"/>
      <c r="J304"/>
      <c r="K304"/>
      <c r="L304"/>
      <c r="M304"/>
      <c r="N304"/>
      <c r="O304"/>
    </row>
    <row r="305" spans="1:15" s="310" customFormat="1">
      <c r="A305" s="1077"/>
      <c r="B305" s="1077"/>
      <c r="C305" s="1077"/>
      <c r="D305" s="1077"/>
      <c r="E305" s="1077"/>
      <c r="F305" s="1077"/>
      <c r="G305" s="1077"/>
      <c r="H305" s="224"/>
      <c r="I305"/>
      <c r="J305"/>
      <c r="K305"/>
      <c r="L305"/>
      <c r="M305"/>
      <c r="N305"/>
      <c r="O305"/>
    </row>
    <row r="306" spans="1:15" s="310" customFormat="1" ht="15" customHeight="1">
      <c r="A306" s="1077"/>
      <c r="B306" s="1077"/>
      <c r="C306" s="1077"/>
      <c r="D306" s="1077"/>
      <c r="E306" s="1077"/>
      <c r="F306" s="1077"/>
      <c r="G306" s="1077"/>
      <c r="H306" s="224"/>
      <c r="I306"/>
      <c r="J306"/>
      <c r="K306"/>
      <c r="L306"/>
      <c r="M306"/>
      <c r="N306"/>
      <c r="O306"/>
    </row>
    <row r="307" spans="1:15" s="310" customFormat="1">
      <c r="A307" s="1077" t="s">
        <v>1059</v>
      </c>
      <c r="B307" s="1077"/>
      <c r="C307" s="1077"/>
      <c r="D307" s="1077"/>
      <c r="E307" s="1077"/>
      <c r="F307" s="1077"/>
      <c r="G307" s="1077"/>
      <c r="H307" s="224"/>
      <c r="I307"/>
      <c r="J307"/>
      <c r="K307"/>
      <c r="L307"/>
      <c r="M307"/>
      <c r="N307"/>
      <c r="O307"/>
    </row>
    <row r="308" spans="1:15" s="310" customFormat="1">
      <c r="A308" s="1077"/>
      <c r="B308" s="1077"/>
      <c r="C308" s="1077"/>
      <c r="D308" s="1077"/>
      <c r="E308" s="1077"/>
      <c r="F308" s="1077"/>
      <c r="G308" s="1077"/>
      <c r="H308" s="224"/>
      <c r="I308"/>
      <c r="J308"/>
      <c r="K308"/>
      <c r="L308"/>
      <c r="M308"/>
      <c r="N308"/>
      <c r="O308"/>
    </row>
    <row r="309" spans="1:15" s="310" customFormat="1">
      <c r="A309" s="1061" t="s">
        <v>181</v>
      </c>
      <c r="B309" s="1061"/>
      <c r="C309" s="1061"/>
      <c r="D309" s="1059" t="s">
        <v>1670</v>
      </c>
      <c r="E309" s="1059"/>
      <c r="F309" s="1059"/>
      <c r="G309" s="1059"/>
      <c r="H309" s="224"/>
      <c r="I309"/>
      <c r="J309"/>
      <c r="K309"/>
      <c r="L309"/>
      <c r="M309"/>
      <c r="N309"/>
      <c r="O309"/>
    </row>
    <row r="310" spans="1:15" s="310" customFormat="1" ht="15" customHeight="1">
      <c r="A310" s="365" t="s">
        <v>1358</v>
      </c>
      <c r="B310" s="752"/>
      <c r="C310" s="752"/>
      <c r="D310" s="752"/>
      <c r="E310" s="752"/>
      <c r="F310" s="752"/>
      <c r="G310" s="752"/>
      <c r="H310" s="224"/>
      <c r="I310"/>
      <c r="J310"/>
      <c r="K310"/>
      <c r="L310"/>
      <c r="M310"/>
      <c r="N310"/>
      <c r="O310"/>
    </row>
    <row r="311" spans="1:15" s="310" customFormat="1" ht="15" customHeight="1">
      <c r="A311" s="365"/>
      <c r="B311" s="828"/>
      <c r="C311" s="828"/>
      <c r="D311" s="828"/>
      <c r="E311" s="828"/>
      <c r="F311" s="828"/>
      <c r="G311" s="828"/>
      <c r="H311" s="224"/>
      <c r="I311"/>
      <c r="J311"/>
      <c r="K311"/>
      <c r="L311"/>
      <c r="M311"/>
      <c r="N311"/>
      <c r="O311"/>
    </row>
    <row r="312" spans="1:15" s="310" customFormat="1" ht="18" customHeight="1">
      <c r="A312" s="334" t="s">
        <v>910</v>
      </c>
      <c r="H312" s="224"/>
      <c r="I312"/>
      <c r="J312"/>
      <c r="K312"/>
      <c r="L312"/>
      <c r="M312"/>
      <c r="N312"/>
      <c r="O312"/>
    </row>
    <row r="313" spans="1:15" s="310" customFormat="1" ht="15" customHeight="1">
      <c r="A313" s="316" t="s">
        <v>1259</v>
      </c>
      <c r="B313" s="316"/>
      <c r="C313" s="316"/>
      <c r="D313" s="395"/>
      <c r="E313" s="395"/>
      <c r="F313" s="395"/>
      <c r="G313" s="755" t="s">
        <v>1990</v>
      </c>
      <c r="H313" s="224"/>
      <c r="I313"/>
      <c r="J313"/>
      <c r="K313"/>
      <c r="L313"/>
      <c r="M313"/>
      <c r="N313"/>
      <c r="O313"/>
    </row>
    <row r="314" spans="1:15" s="310" customFormat="1">
      <c r="A314" s="1077" t="s">
        <v>1230</v>
      </c>
      <c r="B314" s="1077"/>
      <c r="C314" s="1077"/>
      <c r="D314" s="1077"/>
      <c r="E314" s="1077"/>
      <c r="F314" s="1077"/>
      <c r="G314" s="1077"/>
      <c r="H314" s="224"/>
      <c r="I314"/>
      <c r="J314"/>
      <c r="K314"/>
      <c r="L314"/>
      <c r="M314"/>
      <c r="N314"/>
      <c r="O314"/>
    </row>
    <row r="315" spans="1:15" s="310" customFormat="1" ht="15" customHeight="1">
      <c r="A315" s="1077"/>
      <c r="B315" s="1077"/>
      <c r="C315" s="1077"/>
      <c r="D315" s="1077"/>
      <c r="E315" s="1077"/>
      <c r="F315" s="1077"/>
      <c r="G315" s="1077"/>
      <c r="H315" s="224"/>
      <c r="I315"/>
      <c r="J315"/>
      <c r="K315"/>
      <c r="L315"/>
      <c r="M315"/>
      <c r="N315"/>
      <c r="O315"/>
    </row>
    <row r="316" spans="1:15" s="310" customFormat="1" ht="15" customHeight="1">
      <c r="A316" s="1077"/>
      <c r="B316" s="1077"/>
      <c r="C316" s="1077"/>
      <c r="D316" s="1077"/>
      <c r="E316" s="1077"/>
      <c r="F316" s="1077"/>
      <c r="G316" s="1077"/>
      <c r="H316" s="224"/>
      <c r="I316"/>
      <c r="J316"/>
      <c r="K316"/>
      <c r="L316"/>
      <c r="M316"/>
      <c r="N316"/>
      <c r="O316"/>
    </row>
    <row r="317" spans="1:15" s="310" customFormat="1">
      <c r="A317" s="376" t="s">
        <v>1051</v>
      </c>
      <c r="B317" s="376"/>
      <c r="C317" s="376"/>
      <c r="D317" s="1078" t="s">
        <v>1679</v>
      </c>
      <c r="E317" s="1078"/>
      <c r="F317" s="1078"/>
      <c r="G317" s="1078"/>
      <c r="H317" s="224"/>
      <c r="I317"/>
      <c r="J317"/>
      <c r="K317"/>
      <c r="L317"/>
      <c r="M317"/>
      <c r="N317"/>
      <c r="O317"/>
    </row>
    <row r="318" spans="1:15" s="310" customFormat="1" ht="15" customHeight="1">
      <c r="A318" s="1079" t="s">
        <v>1052</v>
      </c>
      <c r="B318" s="1079"/>
      <c r="C318" s="1079"/>
      <c r="D318" s="1079"/>
      <c r="E318" s="1079"/>
      <c r="F318" s="1079"/>
      <c r="G318" s="1079"/>
      <c r="H318" s="224"/>
      <c r="I318"/>
      <c r="J318"/>
      <c r="K318"/>
      <c r="L318"/>
      <c r="M318"/>
      <c r="N318"/>
      <c r="O318"/>
    </row>
    <row r="319" spans="1:15" s="310" customFormat="1">
      <c r="A319" s="1063" t="s">
        <v>1231</v>
      </c>
      <c r="B319" s="1063"/>
      <c r="C319" s="1063"/>
      <c r="D319" s="1063"/>
      <c r="E319" s="1063"/>
      <c r="F319" s="1063"/>
      <c r="G319" s="1063"/>
      <c r="H319" s="224"/>
      <c r="I319"/>
      <c r="J319"/>
      <c r="K319"/>
      <c r="L319"/>
      <c r="M319"/>
      <c r="N319"/>
      <c r="O319"/>
    </row>
    <row r="320" spans="1:15">
      <c r="A320" s="1063"/>
      <c r="B320" s="1063"/>
      <c r="C320" s="1063"/>
      <c r="D320" s="1063"/>
      <c r="E320" s="1063"/>
      <c r="F320" s="1063"/>
      <c r="G320" s="1063"/>
    </row>
    <row r="321" spans="1:7">
      <c r="A321" s="1063"/>
      <c r="B321" s="1063"/>
      <c r="C321" s="1063"/>
      <c r="D321" s="1063"/>
      <c r="E321" s="1063"/>
      <c r="F321" s="1063"/>
      <c r="G321" s="1063"/>
    </row>
    <row r="322" spans="1:7">
      <c r="A322" s="1077" t="s">
        <v>1258</v>
      </c>
      <c r="B322" s="1077"/>
      <c r="C322" s="1077"/>
      <c r="D322" s="1077"/>
      <c r="E322" s="1077"/>
      <c r="F322" s="1077"/>
      <c r="G322" s="1077"/>
    </row>
    <row r="323" spans="1:7">
      <c r="A323" s="1077"/>
      <c r="B323" s="1077"/>
      <c r="C323" s="1077"/>
      <c r="D323" s="1077"/>
      <c r="E323" s="1077"/>
      <c r="F323" s="1077"/>
      <c r="G323" s="1077"/>
    </row>
    <row r="324" spans="1:7" ht="15" customHeight="1">
      <c r="A324" s="1077"/>
      <c r="B324" s="1077"/>
      <c r="C324" s="1077"/>
      <c r="D324" s="1077"/>
      <c r="E324" s="1077"/>
      <c r="F324" s="1077"/>
      <c r="G324" s="1077"/>
    </row>
    <row r="325" spans="1:7">
      <c r="A325" s="1080" t="s">
        <v>1053</v>
      </c>
      <c r="B325" s="1080"/>
      <c r="C325" s="1080"/>
      <c r="D325" s="1080"/>
      <c r="E325" s="1080"/>
      <c r="F325" s="1080"/>
      <c r="G325" s="1080"/>
    </row>
    <row r="326" spans="1:7">
      <c r="A326" s="1080"/>
      <c r="B326" s="1080"/>
      <c r="C326" s="1080"/>
      <c r="D326" s="1080"/>
      <c r="E326" s="1080"/>
      <c r="F326" s="1080"/>
      <c r="G326" s="1080"/>
    </row>
    <row r="327" spans="1:7"/>
    <row r="328" spans="1:7"/>
    <row r="329" spans="1:7" ht="15" customHeight="1"/>
    <row r="330" spans="1:7" ht="15" customHeight="1"/>
    <row r="331" spans="1:7"/>
    <row r="332" spans="1:7"/>
    <row r="333" spans="1:7" ht="15" customHeight="1"/>
    <row r="334" spans="1:7"/>
    <row r="335" spans="1:7"/>
    <row r="336" spans="1:7" ht="15" customHeight="1"/>
    <row r="337"/>
    <row r="338"/>
    <row r="339"/>
    <row r="340"/>
    <row r="341"/>
    <row r="342"/>
    <row r="343"/>
    <row r="344"/>
    <row r="345"/>
    <row r="346"/>
    <row r="347"/>
    <row r="348"/>
    <row r="349"/>
    <row r="350"/>
    <row r="351"/>
    <row r="352"/>
    <row r="353"/>
    <row r="354"/>
    <row r="355"/>
    <row r="356"/>
    <row r="357"/>
    <row r="358"/>
    <row r="359"/>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sheetProtection algorithmName="SHA-512" hashValue="dwbLGlYx6+T4gD7JAOfwzGVJa6FVrOIdAia2fDvQ32RapCBFWu//L1cC6x63ZQn1atwZhIHXQALkl+xLw6yRDg==" saltValue="GQ2sNEQDl8oLDbb9aBViiA==" spinCount="100000" sheet="1" objects="1" autoFilter="0"/>
  <mergeCells count="151">
    <mergeCell ref="A177:G178"/>
    <mergeCell ref="A179:G179"/>
    <mergeCell ref="A21:D21"/>
    <mergeCell ref="A153:D153"/>
    <mergeCell ref="E118:G118"/>
    <mergeCell ref="A119:G121"/>
    <mergeCell ref="A122:G123"/>
    <mergeCell ref="A127:G131"/>
    <mergeCell ref="A132:G132"/>
    <mergeCell ref="E134:G134"/>
    <mergeCell ref="C170:G170"/>
    <mergeCell ref="A108:G109"/>
    <mergeCell ref="A110:C110"/>
    <mergeCell ref="D110:G110"/>
    <mergeCell ref="A163:G164"/>
    <mergeCell ref="A154:G154"/>
    <mergeCell ref="A155:C155"/>
    <mergeCell ref="D155:G155"/>
    <mergeCell ref="E161:G161"/>
    <mergeCell ref="A113:D113"/>
    <mergeCell ref="A116:G117"/>
    <mergeCell ref="F126:G126"/>
    <mergeCell ref="F137:G137"/>
    <mergeCell ref="A138:G141"/>
    <mergeCell ref="A40:G45"/>
    <mergeCell ref="E113:G113"/>
    <mergeCell ref="A46:C46"/>
    <mergeCell ref="D46:G46"/>
    <mergeCell ref="A47:G48"/>
    <mergeCell ref="A50:G52"/>
    <mergeCell ref="A25:C25"/>
    <mergeCell ref="D25:G25"/>
    <mergeCell ref="A30:G33"/>
    <mergeCell ref="A34:C34"/>
    <mergeCell ref="D34:G34"/>
    <mergeCell ref="A35:G38"/>
    <mergeCell ref="A111:G112"/>
    <mergeCell ref="A95:G96"/>
    <mergeCell ref="A98:C98"/>
    <mergeCell ref="D98:G98"/>
    <mergeCell ref="A99:G104"/>
    <mergeCell ref="A107:C107"/>
    <mergeCell ref="A88:C88"/>
    <mergeCell ref="D88:G88"/>
    <mergeCell ref="A142:G149"/>
    <mergeCell ref="A86:G87"/>
    <mergeCell ref="A7:G8"/>
    <mergeCell ref="A49:C49"/>
    <mergeCell ref="D49:G49"/>
    <mergeCell ref="A60:C60"/>
    <mergeCell ref="D60:G60"/>
    <mergeCell ref="A79:C79"/>
    <mergeCell ref="D79:G79"/>
    <mergeCell ref="A80:G81"/>
    <mergeCell ref="A82:G83"/>
    <mergeCell ref="A84:G85"/>
    <mergeCell ref="A10:C10"/>
    <mergeCell ref="D10:G10"/>
    <mergeCell ref="A11:G12"/>
    <mergeCell ref="A13:C13"/>
    <mergeCell ref="D13:G13"/>
    <mergeCell ref="A39:C39"/>
    <mergeCell ref="A17:C17"/>
    <mergeCell ref="D17:G17"/>
    <mergeCell ref="A18:G19"/>
    <mergeCell ref="A14:G16"/>
    <mergeCell ref="A22:G24"/>
    <mergeCell ref="A26:G29"/>
    <mergeCell ref="A209:D209"/>
    <mergeCell ref="E209:G209"/>
    <mergeCell ref="A212:G214"/>
    <mergeCell ref="A215:G216"/>
    <mergeCell ref="D39:G39"/>
    <mergeCell ref="A170:B170"/>
    <mergeCell ref="A199:G199"/>
    <mergeCell ref="D200:G200"/>
    <mergeCell ref="A201:G205"/>
    <mergeCell ref="A190:G193"/>
    <mergeCell ref="A195:C195"/>
    <mergeCell ref="D195:G195"/>
    <mergeCell ref="A196:G196"/>
    <mergeCell ref="A197:G198"/>
    <mergeCell ref="A181:G182"/>
    <mergeCell ref="A183:G185"/>
    <mergeCell ref="A186:G187"/>
    <mergeCell ref="A188:G188"/>
    <mergeCell ref="D189:G189"/>
    <mergeCell ref="A114:G115"/>
    <mergeCell ref="A118:D118"/>
    <mergeCell ref="A171:G172"/>
    <mergeCell ref="A174:G176"/>
    <mergeCell ref="D180:G180"/>
    <mergeCell ref="A228:D228"/>
    <mergeCell ref="E228:G228"/>
    <mergeCell ref="A229:G234"/>
    <mergeCell ref="A236:D236"/>
    <mergeCell ref="E236:G236"/>
    <mergeCell ref="A217:G219"/>
    <mergeCell ref="A220:G222"/>
    <mergeCell ref="B224:F224"/>
    <mergeCell ref="B225:F225"/>
    <mergeCell ref="B226:F226"/>
    <mergeCell ref="A245:G248"/>
    <mergeCell ref="A250:G250"/>
    <mergeCell ref="A258:C258"/>
    <mergeCell ref="D258:G258"/>
    <mergeCell ref="A259:G260"/>
    <mergeCell ref="A237:G239"/>
    <mergeCell ref="A240:G240"/>
    <mergeCell ref="A241:G241"/>
    <mergeCell ref="D243:G243"/>
    <mergeCell ref="A244:G244"/>
    <mergeCell ref="A253:G255"/>
    <mergeCell ref="A283:D283"/>
    <mergeCell ref="E283:G283"/>
    <mergeCell ref="A273:G273"/>
    <mergeCell ref="A274:C274"/>
    <mergeCell ref="D274:G274"/>
    <mergeCell ref="A275:G275"/>
    <mergeCell ref="A276:D276"/>
    <mergeCell ref="E276:G276"/>
    <mergeCell ref="A261:C261"/>
    <mergeCell ref="D261:G261"/>
    <mergeCell ref="A265:C265"/>
    <mergeCell ref="A272:C272"/>
    <mergeCell ref="D272:G272"/>
    <mergeCell ref="A266:G271"/>
    <mergeCell ref="C1:Q4"/>
    <mergeCell ref="A325:G326"/>
    <mergeCell ref="A322:G324"/>
    <mergeCell ref="A319:G321"/>
    <mergeCell ref="A318:G318"/>
    <mergeCell ref="A307:G308"/>
    <mergeCell ref="A304:G306"/>
    <mergeCell ref="A152:G152"/>
    <mergeCell ref="A150:G151"/>
    <mergeCell ref="A135:G136"/>
    <mergeCell ref="A242:G242"/>
    <mergeCell ref="D317:G317"/>
    <mergeCell ref="A309:C309"/>
    <mergeCell ref="D309:G309"/>
    <mergeCell ref="A314:G316"/>
    <mergeCell ref="A284:G285"/>
    <mergeCell ref="A300:C300"/>
    <mergeCell ref="D300:G300"/>
    <mergeCell ref="A301:G302"/>
    <mergeCell ref="A303:D303"/>
    <mergeCell ref="E303:G303"/>
    <mergeCell ref="A277:G280"/>
    <mergeCell ref="A281:C281"/>
    <mergeCell ref="D281:G281"/>
  </mergeCells>
  <pageMargins left="0.23622047244094491" right="3.937007874015748E-2" top="0.55118110236220474" bottom="0.55118110236220474" header="0.11811023622047245" footer="0.11811023622047245"/>
  <pageSetup paperSize="9" orientation="portrait" r:id="rId1"/>
  <headerFooter>
    <oddFooter>&amp;C&amp;"Calibri,Italique"&amp;8&amp;A&amp;R&amp;"-,Italique"&amp;8Page &amp;P</oddFooter>
  </headerFooter>
  <rowBreaks count="2" manualBreakCount="2">
    <brk id="207" max="16383" man="1"/>
    <brk id="256"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G251"/>
  <sheetViews>
    <sheetView zoomScale="95" zoomScaleNormal="95" workbookViewId="0">
      <selection activeCell="H40" sqref="H40"/>
    </sheetView>
  </sheetViews>
  <sheetFormatPr baseColWidth="10" defaultRowHeight="12.75"/>
  <cols>
    <col min="1" max="1" width="11.42578125" style="22"/>
    <col min="2" max="2" width="22" style="22" customWidth="1"/>
    <col min="3" max="5" width="12.42578125" style="23" customWidth="1"/>
    <col min="6" max="6" width="12.42578125" style="302" customWidth="1"/>
    <col min="7" max="10" width="12.42578125" style="23" customWidth="1"/>
    <col min="11" max="13" width="11.42578125" style="23" customWidth="1"/>
    <col min="14" max="14" width="16.140625" style="23" customWidth="1"/>
    <col min="15" max="24" width="11.42578125" style="23" customWidth="1"/>
    <col min="25" max="26" width="11.42578125" style="23"/>
    <col min="27" max="32" width="11.42578125" style="22"/>
    <col min="33" max="16384" width="11.42578125" style="23"/>
  </cols>
  <sheetData>
    <row r="2" spans="1:33" s="47" customFormat="1" ht="15">
      <c r="A2" s="48" t="s">
        <v>180</v>
      </c>
      <c r="B2" s="46"/>
      <c r="F2" s="300"/>
      <c r="G2" s="636" t="s">
        <v>1285</v>
      </c>
      <c r="AA2" s="46"/>
      <c r="AB2" s="46"/>
      <c r="AC2" s="46"/>
      <c r="AD2" s="46"/>
      <c r="AE2" s="46"/>
      <c r="AF2" s="46"/>
    </row>
    <row r="4" spans="1:33">
      <c r="C4" s="796">
        <v>2014</v>
      </c>
      <c r="D4" s="796">
        <v>2014</v>
      </c>
      <c r="E4" s="798" t="s">
        <v>1535</v>
      </c>
      <c r="F4" s="802">
        <v>2014</v>
      </c>
      <c r="G4" s="796">
        <v>2016</v>
      </c>
      <c r="H4" s="796">
        <v>2009</v>
      </c>
      <c r="I4" s="796">
        <v>2009</v>
      </c>
      <c r="J4" s="798" t="s">
        <v>1535</v>
      </c>
      <c r="K4" s="796">
        <v>2009</v>
      </c>
      <c r="L4" s="798" t="s">
        <v>1535</v>
      </c>
      <c r="M4" s="798">
        <v>2014</v>
      </c>
      <c r="N4" s="798">
        <v>2014</v>
      </c>
      <c r="O4" s="798">
        <v>2014</v>
      </c>
      <c r="P4" s="798">
        <v>2014</v>
      </c>
      <c r="Q4" s="798">
        <v>2014</v>
      </c>
      <c r="R4" s="798">
        <v>2014</v>
      </c>
      <c r="S4" s="798">
        <v>2014</v>
      </c>
      <c r="T4" s="798">
        <v>2014</v>
      </c>
      <c r="U4" s="798">
        <v>2014</v>
      </c>
      <c r="V4" s="798">
        <v>2014</v>
      </c>
      <c r="W4" s="797">
        <v>2014</v>
      </c>
      <c r="X4" s="798">
        <v>2014</v>
      </c>
      <c r="Y4" s="600">
        <v>2014</v>
      </c>
      <c r="Z4" s="206">
        <v>2013</v>
      </c>
      <c r="AA4" s="800">
        <v>2009</v>
      </c>
      <c r="AB4" s="800">
        <v>2009</v>
      </c>
      <c r="AC4" s="800">
        <v>2009</v>
      </c>
      <c r="AD4" s="800">
        <v>2009</v>
      </c>
      <c r="AE4" s="800">
        <v>2009</v>
      </c>
      <c r="AF4" s="800">
        <v>2009</v>
      </c>
    </row>
    <row r="5" spans="1:33" s="25" customFormat="1" ht="60">
      <c r="A5" s="24" t="s">
        <v>52</v>
      </c>
      <c r="B5" s="24" t="s">
        <v>53</v>
      </c>
      <c r="C5" s="795" t="s">
        <v>1321</v>
      </c>
      <c r="D5" s="795" t="s">
        <v>1322</v>
      </c>
      <c r="E5" s="795" t="s">
        <v>601</v>
      </c>
      <c r="F5" s="301" t="s">
        <v>977</v>
      </c>
      <c r="G5" s="208" t="s">
        <v>976</v>
      </c>
      <c r="H5" s="795" t="s">
        <v>1321</v>
      </c>
      <c r="I5" s="795" t="s">
        <v>1322</v>
      </c>
      <c r="J5" s="795" t="s">
        <v>602</v>
      </c>
      <c r="K5" s="208" t="s">
        <v>978</v>
      </c>
      <c r="L5" s="208" t="s">
        <v>603</v>
      </c>
      <c r="M5" s="207" t="s">
        <v>93</v>
      </c>
      <c r="N5" s="207" t="s">
        <v>94</v>
      </c>
      <c r="O5" s="207" t="s">
        <v>95</v>
      </c>
      <c r="P5" s="207" t="s">
        <v>96</v>
      </c>
      <c r="Q5" s="208" t="s">
        <v>91</v>
      </c>
      <c r="R5" s="207" t="s">
        <v>97</v>
      </c>
      <c r="S5" s="207" t="s">
        <v>98</v>
      </c>
      <c r="T5" s="207" t="s">
        <v>99</v>
      </c>
      <c r="U5" s="207" t="s">
        <v>100</v>
      </c>
      <c r="V5" s="207" t="s">
        <v>101</v>
      </c>
      <c r="W5" s="799" t="s">
        <v>83</v>
      </c>
      <c r="X5" s="795" t="s">
        <v>92</v>
      </c>
      <c r="Y5" s="601" t="s">
        <v>102</v>
      </c>
      <c r="Z5" s="208" t="s">
        <v>102</v>
      </c>
      <c r="AA5" s="11" t="s">
        <v>612</v>
      </c>
      <c r="AB5" s="638" t="s">
        <v>610</v>
      </c>
      <c r="AC5" s="638" t="s">
        <v>609</v>
      </c>
      <c r="AD5" s="22" t="s">
        <v>611</v>
      </c>
      <c r="AE5" s="638" t="s">
        <v>608</v>
      </c>
      <c r="AF5" s="24" t="s">
        <v>607</v>
      </c>
      <c r="AG5" s="601" t="s">
        <v>1339</v>
      </c>
    </row>
    <row r="6" spans="1:33" ht="15">
      <c r="A6" s="22" t="s">
        <v>88</v>
      </c>
      <c r="B6" s="22" t="s">
        <v>89</v>
      </c>
      <c r="C6" s="620">
        <v>187343.35399752264</v>
      </c>
      <c r="D6" s="620">
        <v>153767.67789338622</v>
      </c>
      <c r="E6" s="193">
        <f>(D6-C6)/C6</f>
        <v>-0.17922000107129721</v>
      </c>
      <c r="F6" s="619">
        <v>115493</v>
      </c>
      <c r="G6" s="620">
        <v>117018</v>
      </c>
      <c r="H6" s="620">
        <v>186851.67090399991</v>
      </c>
      <c r="I6" s="620">
        <v>155685.78383299999</v>
      </c>
      <c r="J6" s="193">
        <f t="shared" ref="J6:J40" si="0">+RATE((2014-2009),,-I6,D6)</f>
        <v>-2.4763071930682121E-3</v>
      </c>
      <c r="K6" s="620">
        <v>114979</v>
      </c>
      <c r="L6" s="193">
        <f>+RATE((2014-2009),,-K6,F6)</f>
        <v>8.9248183951871928E-4</v>
      </c>
      <c r="M6" s="620">
        <v>8561.675733991382</v>
      </c>
      <c r="N6" s="620">
        <v>16389.233520281527</v>
      </c>
      <c r="O6" s="620">
        <v>131829.42287015912</v>
      </c>
      <c r="P6" s="620">
        <v>30738.258132766921</v>
      </c>
      <c r="Q6" s="23">
        <f>SUM(M6:P6)</f>
        <v>187518.59025719896</v>
      </c>
      <c r="R6" s="620">
        <v>5204.0792655846863</v>
      </c>
      <c r="S6" s="620">
        <v>9317.9418733954899</v>
      </c>
      <c r="T6" s="620">
        <v>108553.9834157928</v>
      </c>
      <c r="U6" s="620">
        <v>27076.959555269157</v>
      </c>
      <c r="V6" s="23">
        <f>SUM(R6:U6)</f>
        <v>150152.96411004214</v>
      </c>
      <c r="W6" s="635">
        <v>311489.22986506071</v>
      </c>
      <c r="X6" s="620">
        <v>188017.50116423957</v>
      </c>
      <c r="Y6" s="602">
        <v>13.17008633181905</v>
      </c>
      <c r="Z6" s="26">
        <v>13.036347081541161</v>
      </c>
      <c r="AA6" s="10">
        <v>188747.78295700002</v>
      </c>
      <c r="AB6" s="10">
        <f>SUM(AD6:AF6)</f>
        <v>159059.91206800001</v>
      </c>
      <c r="AC6" s="10">
        <v>27917.900872999999</v>
      </c>
      <c r="AD6" s="22">
        <v>8995.1542419999987</v>
      </c>
      <c r="AE6" s="10">
        <v>16984.001200000002</v>
      </c>
      <c r="AF6" s="22">
        <v>133080.75662599999</v>
      </c>
      <c r="AG6" s="850">
        <f>((Y6-Z6)/Y6)</f>
        <v>1.015477400134987E-2</v>
      </c>
    </row>
    <row r="7" spans="1:33" ht="15">
      <c r="A7" s="22" t="s">
        <v>5</v>
      </c>
      <c r="B7" s="22" t="s">
        <v>6</v>
      </c>
      <c r="C7" s="620">
        <v>548081.44005627453</v>
      </c>
      <c r="D7" s="620">
        <v>475339.64035064215</v>
      </c>
      <c r="E7" s="193">
        <f t="shared" ref="E7:E40" si="1">+RATE((2013-2008),,-H7,C7)</f>
        <v>9.179056948820815E-3</v>
      </c>
      <c r="F7" s="619">
        <v>362811</v>
      </c>
      <c r="G7" s="620">
        <v>379375</v>
      </c>
      <c r="H7" s="620">
        <v>523605.19828599994</v>
      </c>
      <c r="I7" s="620">
        <v>461026.95680000022</v>
      </c>
      <c r="J7" s="193">
        <f t="shared" si="0"/>
        <v>6.1333453930958459E-3</v>
      </c>
      <c r="K7" s="620">
        <v>344042</v>
      </c>
      <c r="L7" s="193">
        <f t="shared" ref="L7:L40" si="2">+RATE((2014-2009),,-K7,F7)</f>
        <v>1.0680290345599922E-2</v>
      </c>
      <c r="M7" s="620">
        <v>25216.783814146012</v>
      </c>
      <c r="N7" s="620">
        <v>46606.899176282226</v>
      </c>
      <c r="O7" s="620">
        <v>409881.73414393206</v>
      </c>
      <c r="P7" s="620">
        <v>66378.503047680249</v>
      </c>
      <c r="Q7" s="23">
        <f t="shared" ref="Q7:Q40" si="3">SUM(M7:P7)</f>
        <v>548083.92018204054</v>
      </c>
      <c r="R7" s="620">
        <v>16443.475609464087</v>
      </c>
      <c r="S7" s="620">
        <v>28346.064260105504</v>
      </c>
      <c r="T7" s="620">
        <v>355428.5453504544</v>
      </c>
      <c r="U7" s="620">
        <v>58487.941540439613</v>
      </c>
      <c r="V7" s="23">
        <f t="shared" ref="V7:V40" si="4">SUM(R7:U7)</f>
        <v>458706.0267604636</v>
      </c>
      <c r="W7" s="635">
        <v>839632.85133606009</v>
      </c>
      <c r="X7" s="620">
        <v>535164.04819335917</v>
      </c>
      <c r="Y7" s="602">
        <v>14.120677940590667</v>
      </c>
      <c r="Z7" s="26">
        <v>13.936787950717232</v>
      </c>
      <c r="AA7" s="788">
        <v>510176.35814600019</v>
      </c>
      <c r="AB7" s="10">
        <f t="shared" ref="AB7:AB40" si="5">SUM(AD7:AF7)</f>
        <v>467939.08171599964</v>
      </c>
      <c r="AC7" s="788">
        <v>54617.778842999993</v>
      </c>
      <c r="AD7" s="22">
        <v>23747.777965000001</v>
      </c>
      <c r="AE7" s="788">
        <v>46132.625208999976</v>
      </c>
      <c r="AF7" s="22">
        <v>398058.67854199966</v>
      </c>
      <c r="AG7" s="647">
        <f t="shared" ref="AG7:AG40" si="6">((Y7-Z7)/Y7)</f>
        <v>1.3022745129313763E-2</v>
      </c>
    </row>
    <row r="8" spans="1:33" ht="15">
      <c r="A8" s="27" t="s">
        <v>87</v>
      </c>
      <c r="B8" s="22" t="s">
        <v>1076</v>
      </c>
      <c r="C8" s="620">
        <v>110037.63561752094</v>
      </c>
      <c r="D8" s="620">
        <v>101114.98850684109</v>
      </c>
      <c r="E8" s="193">
        <f t="shared" si="1"/>
        <v>-2.9375865525851567E-3</v>
      </c>
      <c r="F8" s="619">
        <v>79403</v>
      </c>
      <c r="G8" s="620">
        <v>82666</v>
      </c>
      <c r="H8" s="620">
        <v>111668.20262300002</v>
      </c>
      <c r="I8" s="620">
        <v>103427.09368800001</v>
      </c>
      <c r="J8" s="193">
        <f t="shared" si="0"/>
        <v>-4.5115097019129396E-3</v>
      </c>
      <c r="K8" s="620">
        <v>80932</v>
      </c>
      <c r="L8" s="193">
        <f t="shared" si="2"/>
        <v>-3.8073625458034158E-3</v>
      </c>
      <c r="M8" s="620">
        <v>7135.3696971429345</v>
      </c>
      <c r="N8" s="620">
        <v>10512.507834402799</v>
      </c>
      <c r="O8" s="620">
        <v>85002.608721899713</v>
      </c>
      <c r="P8" s="620">
        <v>7747.6539711368187</v>
      </c>
      <c r="Q8" s="23">
        <f t="shared" si="3"/>
        <v>110398.14022458227</v>
      </c>
      <c r="R8" s="620">
        <v>4210.5402552937967</v>
      </c>
      <c r="S8" s="620">
        <v>6045.1323534414096</v>
      </c>
      <c r="T8" s="620">
        <v>72199.256389746646</v>
      </c>
      <c r="U8" s="620">
        <v>6879.5895418446371</v>
      </c>
      <c r="V8" s="23">
        <f t="shared" si="4"/>
        <v>89334.518540326491</v>
      </c>
      <c r="W8" s="635">
        <v>230102.8662427919</v>
      </c>
      <c r="X8" s="620">
        <v>120634.53926766256</v>
      </c>
      <c r="Y8" s="602">
        <v>11.987006236792762</v>
      </c>
      <c r="Z8" s="26">
        <v>11.91205765141282</v>
      </c>
      <c r="AA8" s="788">
        <v>122786.55980999998</v>
      </c>
      <c r="AB8" s="10">
        <f t="shared" si="5"/>
        <v>104892.77925400001</v>
      </c>
      <c r="AC8" s="788">
        <v>7292.973912999998</v>
      </c>
      <c r="AD8" s="22">
        <v>7038.3139569999994</v>
      </c>
      <c r="AE8" s="788">
        <v>10516.909352000004</v>
      </c>
      <c r="AF8" s="22">
        <v>87337.555945</v>
      </c>
      <c r="AG8" s="647">
        <f t="shared" si="6"/>
        <v>6.2524857249090715E-3</v>
      </c>
    </row>
    <row r="9" spans="1:33" ht="15">
      <c r="A9" s="22" t="s">
        <v>7</v>
      </c>
      <c r="B9" s="22" t="s">
        <v>8</v>
      </c>
      <c r="C9" s="620">
        <v>344083.74004535232</v>
      </c>
      <c r="D9" s="620">
        <v>301500.80574738886</v>
      </c>
      <c r="E9" s="193">
        <f t="shared" si="1"/>
        <v>8.5130139237030839E-4</v>
      </c>
      <c r="F9" s="619">
        <v>233053</v>
      </c>
      <c r="G9" s="620">
        <v>235577</v>
      </c>
      <c r="H9" s="620">
        <v>342622.8782279999</v>
      </c>
      <c r="I9" s="620">
        <v>303236.04519500001</v>
      </c>
      <c r="J9" s="193">
        <f t="shared" si="0"/>
        <v>-1.1471096951982205E-3</v>
      </c>
      <c r="K9" s="620">
        <v>231471</v>
      </c>
      <c r="L9" s="193">
        <f t="shared" si="2"/>
        <v>1.3631882593877292E-3</v>
      </c>
      <c r="M9" s="620">
        <v>16293.361579183515</v>
      </c>
      <c r="N9" s="620">
        <v>35133.260531004409</v>
      </c>
      <c r="O9" s="620">
        <v>254677.08476949623</v>
      </c>
      <c r="P9" s="620">
        <v>38662.727180125657</v>
      </c>
      <c r="Q9" s="23">
        <f t="shared" si="3"/>
        <v>344766.43405980978</v>
      </c>
      <c r="R9" s="620">
        <v>10863.945810823545</v>
      </c>
      <c r="S9" s="620">
        <v>22186.094101028521</v>
      </c>
      <c r="T9" s="620">
        <v>207687.63112485962</v>
      </c>
      <c r="U9" s="620">
        <v>33542.185480123931</v>
      </c>
      <c r="V9" s="23">
        <f t="shared" si="4"/>
        <v>274279.85651683563</v>
      </c>
      <c r="W9" s="635">
        <v>521989.87278019631</v>
      </c>
      <c r="X9" s="620">
        <v>341797.89839160838</v>
      </c>
      <c r="Y9" s="602">
        <v>15.039518029971202</v>
      </c>
      <c r="Z9" s="26">
        <v>14.820756107096592</v>
      </c>
      <c r="AA9" s="788">
        <v>340529.93676999985</v>
      </c>
      <c r="AB9" s="10">
        <f t="shared" si="5"/>
        <v>307687.97710799973</v>
      </c>
      <c r="AC9" s="788">
        <v>34813.016501000035</v>
      </c>
      <c r="AD9" s="22">
        <v>16718.765333000003</v>
      </c>
      <c r="AE9" s="788">
        <v>34160.911679000012</v>
      </c>
      <c r="AF9" s="22">
        <v>256808.3000959997</v>
      </c>
      <c r="AG9" s="647">
        <f t="shared" si="6"/>
        <v>1.4545806749834274E-2</v>
      </c>
    </row>
    <row r="10" spans="1:33" ht="15">
      <c r="A10" s="22" t="s">
        <v>9</v>
      </c>
      <c r="B10" s="22" t="s">
        <v>10</v>
      </c>
      <c r="C10" s="620">
        <v>390348.44275564916</v>
      </c>
      <c r="D10" s="620">
        <v>357519.59168324119</v>
      </c>
      <c r="E10" s="193">
        <f t="shared" si="1"/>
        <v>7.6771642084369207E-3</v>
      </c>
      <c r="F10" s="619">
        <v>288712</v>
      </c>
      <c r="G10" s="620">
        <v>297629</v>
      </c>
      <c r="H10" s="620">
        <v>375703.60932399996</v>
      </c>
      <c r="I10" s="620">
        <v>347207.62286800006</v>
      </c>
      <c r="J10" s="193">
        <f t="shared" si="0"/>
        <v>5.8706098304627079E-3</v>
      </c>
      <c r="K10" s="620">
        <v>280330</v>
      </c>
      <c r="L10" s="193">
        <f t="shared" si="2"/>
        <v>5.9098287020749873E-3</v>
      </c>
      <c r="M10" s="620">
        <v>17430.530015896162</v>
      </c>
      <c r="N10" s="620">
        <v>31624.587394936152</v>
      </c>
      <c r="O10" s="620">
        <v>311500.80612671236</v>
      </c>
      <c r="P10" s="620">
        <v>29788.38713792415</v>
      </c>
      <c r="Q10" s="23">
        <f t="shared" si="3"/>
        <v>390344.31067546882</v>
      </c>
      <c r="R10" s="620">
        <v>10100.499561345618</v>
      </c>
      <c r="S10" s="620">
        <v>18598.693060158184</v>
      </c>
      <c r="T10" s="620">
        <v>265695.16872764408</v>
      </c>
      <c r="U10" s="620">
        <v>26039.039686206474</v>
      </c>
      <c r="V10" s="23">
        <f t="shared" si="4"/>
        <v>320433.40103535436</v>
      </c>
      <c r="W10" s="635">
        <v>545053.39615054906</v>
      </c>
      <c r="X10" s="620">
        <v>326284.3964580567</v>
      </c>
      <c r="Y10" s="602">
        <v>14.734937898835279</v>
      </c>
      <c r="Z10" s="26">
        <v>14.52186506778509</v>
      </c>
      <c r="AA10" s="788">
        <v>322573.7081569999</v>
      </c>
      <c r="AB10" s="10">
        <f t="shared" si="5"/>
        <v>349956.54038899997</v>
      </c>
      <c r="AC10" s="788">
        <v>24638.757824000004</v>
      </c>
      <c r="AD10" s="22">
        <v>16067.971882000002</v>
      </c>
      <c r="AE10" s="788">
        <v>31902.135514999991</v>
      </c>
      <c r="AF10" s="22">
        <v>301986.43299199996</v>
      </c>
      <c r="AG10" s="647">
        <f t="shared" si="6"/>
        <v>1.4460382019460791E-2</v>
      </c>
    </row>
    <row r="11" spans="1:33" ht="15">
      <c r="A11" s="22" t="s">
        <v>11</v>
      </c>
      <c r="B11" s="22" t="s">
        <v>12</v>
      </c>
      <c r="C11" s="620">
        <v>845998.20149693417</v>
      </c>
      <c r="D11" s="620">
        <v>751792.88507239323</v>
      </c>
      <c r="E11" s="193">
        <f t="shared" si="1"/>
        <v>8.1980289024474445E-3</v>
      </c>
      <c r="F11" s="619">
        <v>657555</v>
      </c>
      <c r="G11" s="620">
        <v>679680</v>
      </c>
      <c r="H11" s="620">
        <v>812157.42597299989</v>
      </c>
      <c r="I11" s="620">
        <v>729828.24582599988</v>
      </c>
      <c r="J11" s="193">
        <f t="shared" si="0"/>
        <v>5.9479472994448538E-3</v>
      </c>
      <c r="K11" s="620">
        <v>625074</v>
      </c>
      <c r="L11" s="193">
        <f t="shared" si="2"/>
        <v>1.0183172785533786E-2</v>
      </c>
      <c r="M11" s="620">
        <v>42023.058966421268</v>
      </c>
      <c r="N11" s="620">
        <v>66694.327927577426</v>
      </c>
      <c r="O11" s="620">
        <v>652923.6492845366</v>
      </c>
      <c r="P11" s="620">
        <v>83780.504922053922</v>
      </c>
      <c r="Q11" s="23">
        <f t="shared" si="3"/>
        <v>845421.54110058921</v>
      </c>
      <c r="R11" s="620">
        <v>27969.816496633161</v>
      </c>
      <c r="S11" s="620">
        <v>40757.177251099289</v>
      </c>
      <c r="T11" s="620">
        <v>556932.44576091308</v>
      </c>
      <c r="U11" s="620">
        <v>72846.203921455672</v>
      </c>
      <c r="V11" s="23">
        <f t="shared" si="4"/>
        <v>698505.64343010122</v>
      </c>
      <c r="W11" s="635">
        <v>1171491.7290529357</v>
      </c>
      <c r="X11" s="620">
        <v>755717.59990203741</v>
      </c>
      <c r="Y11" s="602">
        <v>15.225067251268072</v>
      </c>
      <c r="Z11" s="26">
        <v>14.979961462473719</v>
      </c>
      <c r="AA11" s="788">
        <v>729348.51787300012</v>
      </c>
      <c r="AB11" s="10">
        <f t="shared" si="5"/>
        <v>737665.13229399989</v>
      </c>
      <c r="AC11" s="788">
        <v>72697.260216000024</v>
      </c>
      <c r="AD11" s="22">
        <v>39953.521782000025</v>
      </c>
      <c r="AE11" s="788">
        <v>65244.70294800002</v>
      </c>
      <c r="AF11" s="22">
        <v>632466.90756399988</v>
      </c>
      <c r="AG11" s="647">
        <f t="shared" si="6"/>
        <v>1.6098831272744533E-2</v>
      </c>
    </row>
    <row r="12" spans="1:33" ht="15">
      <c r="A12" s="22" t="s">
        <v>13</v>
      </c>
      <c r="B12" s="22" t="s">
        <v>54</v>
      </c>
      <c r="C12" s="620">
        <v>505432.12586431258</v>
      </c>
      <c r="D12" s="620">
        <v>440219.17349472776</v>
      </c>
      <c r="E12" s="193">
        <f t="shared" si="1"/>
        <v>1.6485550854851974E-3</v>
      </c>
      <c r="F12" s="619">
        <v>374819</v>
      </c>
      <c r="G12" s="620">
        <v>382676</v>
      </c>
      <c r="H12" s="620">
        <v>501286.48781000014</v>
      </c>
      <c r="I12" s="620">
        <v>441822.25404400006</v>
      </c>
      <c r="J12" s="193">
        <f t="shared" si="0"/>
        <v>-7.2672311991894833E-4</v>
      </c>
      <c r="K12" s="620">
        <v>366736</v>
      </c>
      <c r="L12" s="193">
        <f t="shared" si="2"/>
        <v>4.3697194284503128E-3</v>
      </c>
      <c r="M12" s="620">
        <v>21570.107985198523</v>
      </c>
      <c r="N12" s="620">
        <v>40354.766224200685</v>
      </c>
      <c r="O12" s="620">
        <v>384758.44256119605</v>
      </c>
      <c r="P12" s="620">
        <v>58207.771388555826</v>
      </c>
      <c r="Q12" s="23">
        <f t="shared" si="3"/>
        <v>504891.08815915108</v>
      </c>
      <c r="R12" s="620">
        <v>13154.384900207619</v>
      </c>
      <c r="S12" s="620">
        <v>24783.192138860879</v>
      </c>
      <c r="T12" s="620">
        <v>329994.42465989466</v>
      </c>
      <c r="U12" s="620">
        <v>51092.727821578854</v>
      </c>
      <c r="V12" s="23">
        <f t="shared" si="4"/>
        <v>419024.72952054202</v>
      </c>
      <c r="W12" s="635">
        <v>826771.36304343282</v>
      </c>
      <c r="X12" s="620">
        <v>476451.14152404189</v>
      </c>
      <c r="Y12" s="602">
        <v>14.17919370155105</v>
      </c>
      <c r="Z12" s="26">
        <v>14.000915341608927</v>
      </c>
      <c r="AA12" s="788">
        <v>479372.74510500004</v>
      </c>
      <c r="AB12" s="10">
        <f t="shared" si="5"/>
        <v>447884.99448900012</v>
      </c>
      <c r="AC12" s="788">
        <v>53060.612428999986</v>
      </c>
      <c r="AD12" s="22">
        <v>22400.709613999992</v>
      </c>
      <c r="AE12" s="788">
        <v>42142.632804000008</v>
      </c>
      <c r="AF12" s="22">
        <v>383341.65207100014</v>
      </c>
      <c r="AG12" s="647">
        <f t="shared" si="6"/>
        <v>1.2573236792908839E-2</v>
      </c>
    </row>
    <row r="13" spans="1:33" ht="15">
      <c r="A13" s="22" t="s">
        <v>14</v>
      </c>
      <c r="B13" s="22" t="s">
        <v>15</v>
      </c>
      <c r="C13" s="620">
        <v>270915.85703632148</v>
      </c>
      <c r="D13" s="620">
        <v>228781.11711984346</v>
      </c>
      <c r="E13" s="193">
        <f t="shared" si="1"/>
        <v>1.4231298328187782E-2</v>
      </c>
      <c r="F13" s="619">
        <v>174795</v>
      </c>
      <c r="G13" s="620">
        <v>183076</v>
      </c>
      <c r="H13" s="620">
        <v>252434.89198499997</v>
      </c>
      <c r="I13" s="620">
        <v>216929.76373099996</v>
      </c>
      <c r="J13" s="193">
        <f t="shared" si="0"/>
        <v>1.069520804636476E-2</v>
      </c>
      <c r="K13" s="620">
        <v>167796</v>
      </c>
      <c r="L13" s="193">
        <f t="shared" si="2"/>
        <v>8.2064705504987581E-3</v>
      </c>
      <c r="M13" s="620">
        <v>12130.93190630326</v>
      </c>
      <c r="N13" s="620">
        <v>24350.027447996265</v>
      </c>
      <c r="O13" s="620">
        <v>197242.11213070009</v>
      </c>
      <c r="P13" s="620">
        <v>37370.922972504515</v>
      </c>
      <c r="Q13" s="23">
        <f t="shared" si="3"/>
        <v>271093.99445750413</v>
      </c>
      <c r="R13" s="620">
        <v>7529.5967887397974</v>
      </c>
      <c r="S13" s="620">
        <v>14409.042107853324</v>
      </c>
      <c r="T13" s="620">
        <v>163589.2372776994</v>
      </c>
      <c r="U13" s="620">
        <v>32285.278631451241</v>
      </c>
      <c r="V13" s="23">
        <f t="shared" si="4"/>
        <v>217813.15480574378</v>
      </c>
      <c r="W13" s="635">
        <v>440590.25430744846</v>
      </c>
      <c r="X13" s="620">
        <v>257471.32625143614</v>
      </c>
      <c r="Y13" s="602">
        <v>13.937540264885117</v>
      </c>
      <c r="Z13" s="26">
        <v>13.818733235727937</v>
      </c>
      <c r="AA13" s="788">
        <v>241034.62359799998</v>
      </c>
      <c r="AB13" s="10">
        <f t="shared" si="5"/>
        <v>220255.53064099999</v>
      </c>
      <c r="AC13" s="788">
        <v>31274.704261999992</v>
      </c>
      <c r="AD13" s="22">
        <v>12030.693764999995</v>
      </c>
      <c r="AE13" s="788">
        <v>23496.911784</v>
      </c>
      <c r="AF13" s="22">
        <v>184727.92509199999</v>
      </c>
      <c r="AG13" s="647">
        <f t="shared" si="6"/>
        <v>8.524246524080582E-3</v>
      </c>
    </row>
    <row r="14" spans="1:33" ht="15">
      <c r="A14" s="22" t="s">
        <v>16</v>
      </c>
      <c r="B14" s="22" t="s">
        <v>17</v>
      </c>
      <c r="C14" s="620">
        <v>467957.70957027038</v>
      </c>
      <c r="D14" s="620">
        <v>415498.85485365568</v>
      </c>
      <c r="E14" s="193">
        <f t="shared" si="1"/>
        <v>1.1219732683687266E-2</v>
      </c>
      <c r="F14" s="619">
        <v>333328</v>
      </c>
      <c r="G14" s="620">
        <v>348743</v>
      </c>
      <c r="H14" s="620">
        <v>442566.89844200003</v>
      </c>
      <c r="I14" s="620">
        <v>395613.36376400001</v>
      </c>
      <c r="J14" s="193">
        <f t="shared" si="0"/>
        <v>9.85675656201037E-3</v>
      </c>
      <c r="K14" s="620">
        <v>313257</v>
      </c>
      <c r="L14" s="193">
        <f t="shared" si="2"/>
        <v>1.2498066187196569E-2</v>
      </c>
      <c r="M14" s="620">
        <v>24170.304212258277</v>
      </c>
      <c r="N14" s="620">
        <v>36122.15503771662</v>
      </c>
      <c r="O14" s="620">
        <v>356331.94848062913</v>
      </c>
      <c r="P14" s="620">
        <v>51221.292794577188</v>
      </c>
      <c r="Q14" s="23">
        <f t="shared" si="3"/>
        <v>467845.70052518125</v>
      </c>
      <c r="R14" s="620">
        <v>16757.824993811486</v>
      </c>
      <c r="S14" s="620">
        <v>21545.899454003855</v>
      </c>
      <c r="T14" s="620">
        <v>291444.04257836536</v>
      </c>
      <c r="U14" s="620">
        <v>44847.548572352855</v>
      </c>
      <c r="V14" s="23">
        <f t="shared" si="4"/>
        <v>374595.31559853355</v>
      </c>
      <c r="W14" s="635">
        <v>689434.60263597383</v>
      </c>
      <c r="X14" s="620">
        <v>462443.37802047981</v>
      </c>
      <c r="Y14" s="602">
        <v>13.93694411704295</v>
      </c>
      <c r="Z14" s="26">
        <v>13.75433527755975</v>
      </c>
      <c r="AA14" s="788">
        <v>440652.09613299998</v>
      </c>
      <c r="AB14" s="788">
        <f t="shared" si="5"/>
        <v>401301.81515999994</v>
      </c>
      <c r="AC14" s="788">
        <v>41465.250822999995</v>
      </c>
      <c r="AD14" s="22">
        <v>22902.274434000003</v>
      </c>
      <c r="AE14" s="788">
        <v>36174.317183999985</v>
      </c>
      <c r="AF14" s="22">
        <v>342225.22354199993</v>
      </c>
      <c r="AG14" s="647">
        <f t="shared" si="6"/>
        <v>1.3102502094407784E-2</v>
      </c>
    </row>
    <row r="15" spans="1:33" ht="15">
      <c r="A15" s="22" t="s">
        <v>18</v>
      </c>
      <c r="B15" s="22" t="s">
        <v>19</v>
      </c>
      <c r="C15" s="620">
        <v>231922.48670410592</v>
      </c>
      <c r="D15" s="620">
        <v>191961.84608432403</v>
      </c>
      <c r="E15" s="193">
        <f t="shared" si="1"/>
        <v>-2.8180539297400784E-3</v>
      </c>
      <c r="F15" s="619">
        <v>159915</v>
      </c>
      <c r="G15" s="620">
        <v>165028</v>
      </c>
      <c r="H15" s="620">
        <v>235218.14670399987</v>
      </c>
      <c r="I15" s="620">
        <v>197662.14398799997</v>
      </c>
      <c r="J15" s="193">
        <f t="shared" si="0"/>
        <v>-5.8354265245073459E-3</v>
      </c>
      <c r="K15" s="620">
        <v>165540</v>
      </c>
      <c r="L15" s="193">
        <f t="shared" si="2"/>
        <v>-6.8902393724788163E-3</v>
      </c>
      <c r="M15" s="620">
        <v>8588.6588459614504</v>
      </c>
      <c r="N15" s="620">
        <v>18233.798175696786</v>
      </c>
      <c r="O15" s="620">
        <v>169445.2621014074</v>
      </c>
      <c r="P15" s="620">
        <v>35876.855421317392</v>
      </c>
      <c r="Q15" s="23">
        <f t="shared" si="3"/>
        <v>232144.57454438304</v>
      </c>
      <c r="R15" s="620">
        <v>5224.5506563633899</v>
      </c>
      <c r="S15" s="620">
        <v>10652.785871107953</v>
      </c>
      <c r="T15" s="620">
        <v>144475.10945634506</v>
      </c>
      <c r="U15" s="620">
        <v>31123.768934775682</v>
      </c>
      <c r="V15" s="23">
        <f t="shared" si="4"/>
        <v>191476.21491859207</v>
      </c>
      <c r="W15" s="635">
        <v>381324.74495438777</v>
      </c>
      <c r="X15" s="620">
        <v>241149.62499310411</v>
      </c>
      <c r="Y15" s="602">
        <v>13.967336640437463</v>
      </c>
      <c r="Z15" s="26">
        <v>13.860712391384784</v>
      </c>
      <c r="AA15" s="788">
        <v>244596.61166200001</v>
      </c>
      <c r="AB15" s="788">
        <f t="shared" si="5"/>
        <v>201605.95028599995</v>
      </c>
      <c r="AC15" s="788">
        <v>33925.610648000002</v>
      </c>
      <c r="AD15" s="22">
        <v>9519.4405609999994</v>
      </c>
      <c r="AE15" s="788">
        <v>18225.747783999992</v>
      </c>
      <c r="AF15" s="22">
        <v>173860.76194099995</v>
      </c>
      <c r="AG15" s="647">
        <f t="shared" si="6"/>
        <v>7.6338282521226227E-3</v>
      </c>
    </row>
    <row r="16" spans="1:33" ht="15">
      <c r="A16" s="22" t="s">
        <v>20</v>
      </c>
      <c r="B16" s="22" t="s">
        <v>21</v>
      </c>
      <c r="C16" s="620">
        <v>349746.58051034209</v>
      </c>
      <c r="D16" s="620">
        <v>309294.26398446504</v>
      </c>
      <c r="E16" s="193">
        <f t="shared" si="1"/>
        <v>6.6336976958943786E-3</v>
      </c>
      <c r="F16" s="619">
        <v>227025</v>
      </c>
      <c r="G16" s="620">
        <v>235220</v>
      </c>
      <c r="H16" s="620">
        <v>338373.35241000023</v>
      </c>
      <c r="I16" s="620">
        <v>300811.98487700004</v>
      </c>
      <c r="J16" s="193">
        <f t="shared" si="0"/>
        <v>5.5770340224085158E-3</v>
      </c>
      <c r="K16" s="620">
        <v>219705</v>
      </c>
      <c r="L16" s="193">
        <f t="shared" si="2"/>
        <v>6.5764114784938824E-3</v>
      </c>
      <c r="M16" s="620">
        <v>17091.883923832997</v>
      </c>
      <c r="N16" s="620">
        <v>31087.692413130502</v>
      </c>
      <c r="O16" s="620">
        <v>264748.50312821439</v>
      </c>
      <c r="P16" s="620">
        <v>36383.715597575654</v>
      </c>
      <c r="Q16" s="23">
        <f t="shared" si="3"/>
        <v>349311.79506275355</v>
      </c>
      <c r="R16" s="620">
        <v>11691.388465076678</v>
      </c>
      <c r="S16" s="620">
        <v>19708.56351583769</v>
      </c>
      <c r="T16" s="620">
        <v>220932.27649243985</v>
      </c>
      <c r="U16" s="620">
        <v>32758.526745254032</v>
      </c>
      <c r="V16" s="23">
        <f t="shared" si="4"/>
        <v>285090.75521860825</v>
      </c>
      <c r="W16" s="635">
        <v>525243.36719369038</v>
      </c>
      <c r="X16" s="620">
        <v>346115.04217821255</v>
      </c>
      <c r="Y16" s="602">
        <v>13.633905822005824</v>
      </c>
      <c r="Z16" s="26">
        <v>13.513924240540103</v>
      </c>
      <c r="AA16" s="788">
        <v>333895.28233699972</v>
      </c>
      <c r="AB16" s="788">
        <f t="shared" si="5"/>
        <v>303794.74958499998</v>
      </c>
      <c r="AC16" s="788">
        <v>33760.703020999994</v>
      </c>
      <c r="AD16" s="22">
        <v>15841.846025000012</v>
      </c>
      <c r="AE16" s="788">
        <v>30704.356630999995</v>
      </c>
      <c r="AF16" s="22">
        <v>257248.54692899995</v>
      </c>
      <c r="AG16" s="647">
        <f t="shared" si="6"/>
        <v>8.800235459457597E-3</v>
      </c>
    </row>
    <row r="17" spans="1:33" ht="15">
      <c r="A17" s="22" t="s">
        <v>22</v>
      </c>
      <c r="B17" s="22" t="s">
        <v>23</v>
      </c>
      <c r="C17" s="620">
        <v>327058.20938843844</v>
      </c>
      <c r="D17" s="620">
        <v>294319.09331079689</v>
      </c>
      <c r="E17" s="193">
        <f t="shared" si="1"/>
        <v>-1.5069747369124739E-3</v>
      </c>
      <c r="F17" s="619">
        <v>216338</v>
      </c>
      <c r="G17" s="620">
        <v>217966</v>
      </c>
      <c r="H17" s="620">
        <v>329533.73208200024</v>
      </c>
      <c r="I17" s="620">
        <v>298957.29516500013</v>
      </c>
      <c r="J17" s="193">
        <f t="shared" si="0"/>
        <v>-3.122356770957175E-3</v>
      </c>
      <c r="K17" s="620">
        <v>222868</v>
      </c>
      <c r="L17" s="193">
        <f t="shared" si="2"/>
        <v>-5.9298821328722133E-3</v>
      </c>
      <c r="M17" s="620">
        <v>19297.71220324338</v>
      </c>
      <c r="N17" s="620">
        <v>27592.265056394081</v>
      </c>
      <c r="O17" s="620">
        <v>252153.5366525127</v>
      </c>
      <c r="P17" s="620">
        <v>28327.794864459676</v>
      </c>
      <c r="Q17" s="23">
        <f t="shared" si="3"/>
        <v>327371.30877660983</v>
      </c>
      <c r="R17" s="620">
        <v>13343.25881071531</v>
      </c>
      <c r="S17" s="620">
        <v>16389.983256050607</v>
      </c>
      <c r="T17" s="620">
        <v>215811.75399821726</v>
      </c>
      <c r="U17" s="620">
        <v>25410.673288536986</v>
      </c>
      <c r="V17" s="23">
        <f t="shared" si="4"/>
        <v>270955.66935352015</v>
      </c>
      <c r="W17" s="635">
        <v>535087.238805742</v>
      </c>
      <c r="X17" s="620">
        <v>334012.55390714941</v>
      </c>
      <c r="Y17" s="602">
        <v>13.738057558449798</v>
      </c>
      <c r="Z17" s="26">
        <v>13.597969100016153</v>
      </c>
      <c r="AA17" s="788">
        <v>338054.93498299987</v>
      </c>
      <c r="AB17" s="788">
        <f t="shared" si="5"/>
        <v>302127.98491000012</v>
      </c>
      <c r="AC17" s="788">
        <v>27248.553062000003</v>
      </c>
      <c r="AD17" s="22">
        <v>18724.664183000019</v>
      </c>
      <c r="AE17" s="788">
        <v>28634.951598999989</v>
      </c>
      <c r="AF17" s="22">
        <v>254768.36912800011</v>
      </c>
      <c r="AG17" s="647">
        <f t="shared" si="6"/>
        <v>1.0197108131016801E-2</v>
      </c>
    </row>
    <row r="18" spans="1:33" ht="15">
      <c r="A18" s="22" t="s">
        <v>24</v>
      </c>
      <c r="B18" s="22" t="s">
        <v>25</v>
      </c>
      <c r="C18" s="620">
        <v>278038.51575374813</v>
      </c>
      <c r="D18" s="620">
        <v>250870.04061280953</v>
      </c>
      <c r="E18" s="193">
        <f>+RATE((2013-2008),,-H18,C18)</f>
        <v>1.2369657147594948E-4</v>
      </c>
      <c r="F18" s="619">
        <v>203338</v>
      </c>
      <c r="G18" s="620">
        <v>208943</v>
      </c>
      <c r="H18" s="620">
        <v>277866.61749299994</v>
      </c>
      <c r="I18" s="620">
        <v>253997.12813899998</v>
      </c>
      <c r="J18" s="193">
        <f t="shared" si="0"/>
        <v>-2.4745176917465262E-3</v>
      </c>
      <c r="K18" s="620">
        <v>202506</v>
      </c>
      <c r="L18" s="193">
        <f t="shared" si="2"/>
        <v>8.2035697252071105E-4</v>
      </c>
      <c r="M18" s="620">
        <v>13565.369956028455</v>
      </c>
      <c r="N18" s="620">
        <v>22985.577151065478</v>
      </c>
      <c r="O18" s="620">
        <v>216820.45660728641</v>
      </c>
      <c r="P18" s="620">
        <v>24218.67755658086</v>
      </c>
      <c r="Q18" s="23">
        <f t="shared" si="3"/>
        <v>277590.08127096121</v>
      </c>
      <c r="R18" s="620">
        <v>9179.2863076217382</v>
      </c>
      <c r="S18" s="620">
        <v>14846.392086225702</v>
      </c>
      <c r="T18" s="620">
        <v>184649.92693542174</v>
      </c>
      <c r="U18" s="620">
        <v>21072.911583121986</v>
      </c>
      <c r="V18" s="23">
        <f t="shared" si="4"/>
        <v>229748.51691239118</v>
      </c>
      <c r="W18" s="635">
        <v>390558.09004130622</v>
      </c>
      <c r="X18" s="620">
        <v>239427.04797657664</v>
      </c>
      <c r="Y18" s="602">
        <v>13.955146394160508</v>
      </c>
      <c r="Z18" s="26">
        <v>13.795929401059361</v>
      </c>
      <c r="AA18" s="788">
        <v>243264.29366800003</v>
      </c>
      <c r="AB18" s="788">
        <f t="shared" si="5"/>
        <v>257227.59237600002</v>
      </c>
      <c r="AC18" s="788">
        <v>20671.091944000003</v>
      </c>
      <c r="AD18" s="22">
        <v>12777.274945000001</v>
      </c>
      <c r="AE18" s="788">
        <v>23389.131889000004</v>
      </c>
      <c r="AF18" s="22">
        <v>221061.18554199999</v>
      </c>
      <c r="AG18" s="647">
        <f t="shared" si="6"/>
        <v>1.1409195475568125E-2</v>
      </c>
    </row>
    <row r="19" spans="1:33" ht="15">
      <c r="A19" s="22" t="s">
        <v>51</v>
      </c>
      <c r="B19" s="22" t="s">
        <v>55</v>
      </c>
      <c r="C19" s="620">
        <v>218713.1149303398</v>
      </c>
      <c r="D19" s="620">
        <v>183579.29970394762</v>
      </c>
      <c r="E19" s="193">
        <f t="shared" si="1"/>
        <v>-1.2106146138324176E-4</v>
      </c>
      <c r="F19" s="619">
        <v>123666</v>
      </c>
      <c r="G19" s="620">
        <v>127302</v>
      </c>
      <c r="H19" s="620">
        <v>218845.55167199997</v>
      </c>
      <c r="I19" s="620">
        <v>187658.55316499999</v>
      </c>
      <c r="J19" s="193">
        <f t="shared" si="0"/>
        <v>-4.385830001247688E-3</v>
      </c>
      <c r="K19" s="620">
        <v>123523</v>
      </c>
      <c r="L19" s="193">
        <f t="shared" si="2"/>
        <v>2.3142868407113762E-4</v>
      </c>
      <c r="M19" s="620">
        <v>7757.7636818013061</v>
      </c>
      <c r="N19" s="620">
        <v>20490.701861822276</v>
      </c>
      <c r="O19" s="620">
        <v>159975.85579638981</v>
      </c>
      <c r="P19" s="620">
        <v>31001.82421435168</v>
      </c>
      <c r="Q19" s="23">
        <f t="shared" si="3"/>
        <v>219226.14555436507</v>
      </c>
      <c r="R19" s="620">
        <v>4913.6404341125508</v>
      </c>
      <c r="S19" s="620">
        <v>13490.769816856107</v>
      </c>
      <c r="T19" s="620">
        <v>134064.35404764646</v>
      </c>
      <c r="U19" s="620">
        <v>27349.311308303528</v>
      </c>
      <c r="V19" s="23">
        <f t="shared" si="4"/>
        <v>179818.07560691863</v>
      </c>
      <c r="W19" s="635">
        <v>370115.01725006563</v>
      </c>
      <c r="X19" s="620">
        <v>221893.11404438512</v>
      </c>
      <c r="Y19" s="602">
        <v>12.933308149122935</v>
      </c>
      <c r="Z19" s="26">
        <v>12.791901451173304</v>
      </c>
      <c r="AA19" s="788">
        <v>222150.02505599998</v>
      </c>
      <c r="AB19" s="788">
        <f t="shared" si="5"/>
        <v>189972.87736199997</v>
      </c>
      <c r="AC19" s="788">
        <v>28157.228407999999</v>
      </c>
      <c r="AD19" s="22">
        <v>8134.5650130000013</v>
      </c>
      <c r="AE19" s="788">
        <v>23089.864589999997</v>
      </c>
      <c r="AF19" s="22">
        <v>158748.44775899997</v>
      </c>
      <c r="AG19" s="647">
        <f t="shared" si="6"/>
        <v>1.0933528863550651E-2</v>
      </c>
    </row>
    <row r="20" spans="1:33" ht="15">
      <c r="A20" s="22" t="s">
        <v>26</v>
      </c>
      <c r="B20" s="22" t="s">
        <v>27</v>
      </c>
      <c r="C20" s="620">
        <v>637337.42166229326</v>
      </c>
      <c r="D20" s="620">
        <v>554960.46983915975</v>
      </c>
      <c r="E20" s="193">
        <f t="shared" si="1"/>
        <v>1.132041622508427E-2</v>
      </c>
      <c r="F20" s="619">
        <v>437516</v>
      </c>
      <c r="G20" s="620">
        <v>459039</v>
      </c>
      <c r="H20" s="620">
        <v>602456.29333799949</v>
      </c>
      <c r="I20" s="620">
        <v>529495.73847300012</v>
      </c>
      <c r="J20" s="193">
        <f t="shared" si="0"/>
        <v>9.4386192270327039E-3</v>
      </c>
      <c r="K20" s="620">
        <v>406850</v>
      </c>
      <c r="L20" s="193">
        <f t="shared" si="2"/>
        <v>1.4639870233573235E-2</v>
      </c>
      <c r="M20" s="620">
        <v>29798.87787689544</v>
      </c>
      <c r="N20" s="620">
        <v>50022.498969194203</v>
      </c>
      <c r="O20" s="620">
        <v>483425.05889371975</v>
      </c>
      <c r="P20" s="620">
        <v>73314.553710495093</v>
      </c>
      <c r="Q20" s="23">
        <f t="shared" si="3"/>
        <v>636560.98945030454</v>
      </c>
      <c r="R20" s="620">
        <v>20855.232189758241</v>
      </c>
      <c r="S20" s="620">
        <v>29663.201496180402</v>
      </c>
      <c r="T20" s="620">
        <v>411878.82184428978</v>
      </c>
      <c r="U20" s="620">
        <v>63682.767470757426</v>
      </c>
      <c r="V20" s="23">
        <f t="shared" si="4"/>
        <v>526080.02300098585</v>
      </c>
      <c r="W20" s="635">
        <v>963000.09226776741</v>
      </c>
      <c r="X20" s="620">
        <v>628361.59548552672</v>
      </c>
      <c r="Y20" s="602">
        <v>15.183785987321119</v>
      </c>
      <c r="Z20" s="26">
        <v>14.945434254949156</v>
      </c>
      <c r="AA20" s="788">
        <v>593781.84017499979</v>
      </c>
      <c r="AB20" s="788">
        <f t="shared" si="5"/>
        <v>537649.93177400017</v>
      </c>
      <c r="AC20" s="788">
        <v>63977.562932999987</v>
      </c>
      <c r="AD20" s="22">
        <v>27730.552628999998</v>
      </c>
      <c r="AE20" s="788">
        <v>50671.976423999942</v>
      </c>
      <c r="AF20" s="22">
        <v>459247.4027210002</v>
      </c>
      <c r="AG20" s="647">
        <f t="shared" si="6"/>
        <v>1.5697780024757593E-2</v>
      </c>
    </row>
    <row r="21" spans="1:33" ht="15">
      <c r="A21" s="22" t="s">
        <v>28</v>
      </c>
      <c r="B21" s="22" t="s">
        <v>29</v>
      </c>
      <c r="C21" s="620">
        <v>1003930.1510578166</v>
      </c>
      <c r="D21" s="620">
        <v>886577.84493776876</v>
      </c>
      <c r="E21" s="193">
        <f t="shared" si="1"/>
        <v>8.0103137460735552E-3</v>
      </c>
      <c r="F21" s="619">
        <v>767598</v>
      </c>
      <c r="G21" s="620">
        <v>793233</v>
      </c>
      <c r="H21" s="620">
        <v>964669.65830499923</v>
      </c>
      <c r="I21" s="620">
        <v>861396.72600199981</v>
      </c>
      <c r="J21" s="193">
        <f t="shared" si="0"/>
        <v>5.7793888754566211E-3</v>
      </c>
      <c r="K21" s="620">
        <v>730953</v>
      </c>
      <c r="L21" s="193">
        <f t="shared" si="2"/>
        <v>9.8314131846096598E-3</v>
      </c>
      <c r="M21" s="620">
        <v>51942.126645015203</v>
      </c>
      <c r="N21" s="620">
        <v>77084.076599359367</v>
      </c>
      <c r="O21" s="620">
        <v>768802.82008015749</v>
      </c>
      <c r="P21" s="620">
        <v>104952.20342763646</v>
      </c>
      <c r="Q21" s="23">
        <f t="shared" si="3"/>
        <v>1002781.2267521685</v>
      </c>
      <c r="R21" s="620">
        <v>35317.835264540539</v>
      </c>
      <c r="S21" s="620">
        <v>46772.125539235145</v>
      </c>
      <c r="T21" s="620">
        <v>653918.48484053498</v>
      </c>
      <c r="U21" s="620">
        <v>91717.056353386681</v>
      </c>
      <c r="V21" s="23">
        <f t="shared" si="4"/>
        <v>827725.5019976974</v>
      </c>
      <c r="W21" s="635">
        <v>1466473.4323752057</v>
      </c>
      <c r="X21" s="620">
        <v>959769.88501027657</v>
      </c>
      <c r="Y21" s="602">
        <v>15.103808774261971</v>
      </c>
      <c r="Z21" s="645">
        <v>14.861451964915183</v>
      </c>
      <c r="AA21" s="788">
        <v>924851.01811799977</v>
      </c>
      <c r="AB21" s="788">
        <f t="shared" si="5"/>
        <v>872328.15300700045</v>
      </c>
      <c r="AC21" s="788">
        <v>91232.357904000062</v>
      </c>
      <c r="AD21" s="22">
        <v>49601.041978000023</v>
      </c>
      <c r="AE21" s="788">
        <v>76502.258814000001</v>
      </c>
      <c r="AF21" s="22">
        <v>746224.85221500043</v>
      </c>
      <c r="AG21" s="647">
        <f t="shared" si="6"/>
        <v>1.6046072415838719E-2</v>
      </c>
    </row>
    <row r="22" spans="1:33" ht="15">
      <c r="A22" s="22" t="s">
        <v>30</v>
      </c>
      <c r="B22" s="22" t="s">
        <v>253</v>
      </c>
      <c r="C22" s="620">
        <v>689589.07148393651</v>
      </c>
      <c r="D22" s="620">
        <v>601071.14047100605</v>
      </c>
      <c r="E22" s="193">
        <f t="shared" si="1"/>
        <v>1.7986355708521913E-3</v>
      </c>
      <c r="F22" s="619">
        <v>512518</v>
      </c>
      <c r="G22" s="620">
        <v>525364</v>
      </c>
      <c r="H22" s="620">
        <v>683420.79762200033</v>
      </c>
      <c r="I22" s="620">
        <v>603768.20654200006</v>
      </c>
      <c r="J22" s="193">
        <f t="shared" si="0"/>
        <v>-8.9501175327382659E-4</v>
      </c>
      <c r="K22" s="620">
        <v>499143</v>
      </c>
      <c r="L22" s="193">
        <f t="shared" si="2"/>
        <v>5.3026504482454493E-3</v>
      </c>
      <c r="M22" s="620">
        <v>30356.527042911632</v>
      </c>
      <c r="N22" s="620">
        <v>55396.984553617396</v>
      </c>
      <c r="O22" s="620">
        <v>523589.34193727799</v>
      </c>
      <c r="P22" s="620">
        <v>79273.842154782295</v>
      </c>
      <c r="Q22" s="23">
        <f t="shared" si="3"/>
        <v>688616.69568858924</v>
      </c>
      <c r="R22" s="620">
        <v>18592.182649782255</v>
      </c>
      <c r="S22" s="620">
        <v>33616.879097712619</v>
      </c>
      <c r="T22" s="620">
        <v>448516.71049704636</v>
      </c>
      <c r="U22" s="620">
        <v>69402.738750200777</v>
      </c>
      <c r="V22" s="23">
        <f t="shared" si="4"/>
        <v>570128.51099474193</v>
      </c>
      <c r="W22" s="635">
        <v>1108175.1273008503</v>
      </c>
      <c r="X22" s="620">
        <v>650076.6325935421</v>
      </c>
      <c r="Y22" s="602">
        <v>14.509639558962935</v>
      </c>
      <c r="Z22" s="645">
        <v>14.329480415194649</v>
      </c>
      <c r="AA22" s="788">
        <v>651105.96660599962</v>
      </c>
      <c r="AB22" s="788">
        <f t="shared" si="5"/>
        <v>610891.02644199994</v>
      </c>
      <c r="AC22" s="788">
        <v>71162.336073999977</v>
      </c>
      <c r="AD22" s="22">
        <v>31106.465833999991</v>
      </c>
      <c r="AE22" s="788">
        <v>57577.554256999996</v>
      </c>
      <c r="AF22" s="22">
        <v>522207.00635099999</v>
      </c>
      <c r="AG22" s="647">
        <f t="shared" si="6"/>
        <v>1.2416514072329075E-2</v>
      </c>
    </row>
    <row r="23" spans="1:33" ht="15">
      <c r="A23" s="22" t="s">
        <v>31</v>
      </c>
      <c r="B23" s="22" t="s">
        <v>32</v>
      </c>
      <c r="C23" s="620">
        <v>592241.05285400699</v>
      </c>
      <c r="D23" s="620">
        <v>519910.11428323353</v>
      </c>
      <c r="E23" s="193">
        <f t="shared" si="1"/>
        <v>1.2361208532027516E-2</v>
      </c>
      <c r="F23" s="619">
        <v>415141</v>
      </c>
      <c r="G23" s="620">
        <v>436002</v>
      </c>
      <c r="H23" s="620">
        <v>556956.18415299966</v>
      </c>
      <c r="I23" s="620">
        <v>493688.71533499996</v>
      </c>
      <c r="J23" s="193">
        <f t="shared" si="0"/>
        <v>1.0403898442814809E-2</v>
      </c>
      <c r="K23" s="620">
        <v>384450</v>
      </c>
      <c r="L23" s="193">
        <f t="shared" si="2"/>
        <v>1.5479480992392084E-2</v>
      </c>
      <c r="M23" s="620">
        <v>27651.641501324248</v>
      </c>
      <c r="N23" s="620">
        <v>45942.641100249246</v>
      </c>
      <c r="O23" s="620">
        <v>454029.95529018121</v>
      </c>
      <c r="P23" s="620">
        <v>64016.264435207639</v>
      </c>
      <c r="Q23" s="23">
        <f t="shared" si="3"/>
        <v>591640.50232696231</v>
      </c>
      <c r="R23" s="620">
        <v>19429.677101424055</v>
      </c>
      <c r="S23" s="620">
        <v>27417.047417063943</v>
      </c>
      <c r="T23" s="620">
        <v>388179.8007626218</v>
      </c>
      <c r="U23" s="620">
        <v>55456.041831495473</v>
      </c>
      <c r="V23" s="23">
        <f t="shared" si="4"/>
        <v>490482.56711260526</v>
      </c>
      <c r="W23" s="635">
        <v>881949.50012495602</v>
      </c>
      <c r="X23" s="620">
        <v>576992.1724999469</v>
      </c>
      <c r="Y23" s="602">
        <v>15.37637355190766</v>
      </c>
      <c r="Z23" s="645">
        <v>15.128036887189754</v>
      </c>
      <c r="AA23" s="788">
        <v>542906.83061899955</v>
      </c>
      <c r="AB23" s="788">
        <f t="shared" si="5"/>
        <v>501112.05293700012</v>
      </c>
      <c r="AC23" s="788">
        <v>54631.455616000014</v>
      </c>
      <c r="AD23" s="22">
        <v>25396.972001000002</v>
      </c>
      <c r="AE23" s="788">
        <v>46212.543366999962</v>
      </c>
      <c r="AF23" s="22">
        <v>429502.53756900015</v>
      </c>
      <c r="AG23" s="647">
        <f t="shared" si="6"/>
        <v>1.6150535357349977E-2</v>
      </c>
    </row>
    <row r="24" spans="1:33" ht="15">
      <c r="A24" s="22" t="s">
        <v>33</v>
      </c>
      <c r="B24" s="22" t="s">
        <v>34</v>
      </c>
      <c r="C24" s="620">
        <v>517377.04134587792</v>
      </c>
      <c r="D24" s="620">
        <v>471432.14639874571</v>
      </c>
      <c r="E24" s="193">
        <f t="shared" si="1"/>
        <v>3.9255310266845637E-3</v>
      </c>
      <c r="F24" s="619">
        <v>387331</v>
      </c>
      <c r="G24" s="620">
        <v>395525</v>
      </c>
      <c r="H24" s="620">
        <v>507340.64645299996</v>
      </c>
      <c r="I24" s="620">
        <v>467021.08793600008</v>
      </c>
      <c r="J24" s="193">
        <f t="shared" si="0"/>
        <v>1.8819223595854945E-3</v>
      </c>
      <c r="K24" s="620">
        <v>383172</v>
      </c>
      <c r="L24" s="193">
        <f t="shared" si="2"/>
        <v>2.1614626188533074E-3</v>
      </c>
      <c r="M24" s="620">
        <v>24091.519355265438</v>
      </c>
      <c r="N24" s="620">
        <v>42445.646525348973</v>
      </c>
      <c r="O24" s="620">
        <v>409581.37099393329</v>
      </c>
      <c r="P24" s="620">
        <v>41653.845977673816</v>
      </c>
      <c r="Q24" s="23">
        <f t="shared" si="3"/>
        <v>517772.38285222155</v>
      </c>
      <c r="R24" s="620">
        <v>14167.765740098972</v>
      </c>
      <c r="S24" s="620">
        <v>24998.880138687182</v>
      </c>
      <c r="T24" s="620">
        <v>349328.33611146768</v>
      </c>
      <c r="U24" s="620">
        <v>36509.475067070191</v>
      </c>
      <c r="V24" s="23">
        <f t="shared" si="4"/>
        <v>425004.45705732401</v>
      </c>
      <c r="W24" s="635">
        <v>785265.16312621546</v>
      </c>
      <c r="X24" s="620">
        <v>463188.92784144433</v>
      </c>
      <c r="Y24" s="602">
        <v>14.477108668735918</v>
      </c>
      <c r="Z24" s="645">
        <v>14.267949149476069</v>
      </c>
      <c r="AA24" s="788">
        <v>460163.55442600022</v>
      </c>
      <c r="AB24" s="788">
        <f t="shared" si="5"/>
        <v>471265.04696399992</v>
      </c>
      <c r="AC24" s="788">
        <v>35129.081827999988</v>
      </c>
      <c r="AD24" s="22">
        <v>23060.558942</v>
      </c>
      <c r="AE24" s="788">
        <v>43270.975450999998</v>
      </c>
      <c r="AF24" s="22">
        <v>404933.51257099991</v>
      </c>
      <c r="AG24" s="647">
        <f t="shared" si="6"/>
        <v>1.4447603043247168E-2</v>
      </c>
    </row>
    <row r="25" spans="1:33" ht="15">
      <c r="A25" s="22" t="s">
        <v>35</v>
      </c>
      <c r="B25" s="22" t="s">
        <v>61</v>
      </c>
      <c r="C25" s="620">
        <v>517213.62540267658</v>
      </c>
      <c r="D25" s="620">
        <v>450479.57166090555</v>
      </c>
      <c r="E25" s="193">
        <f t="shared" si="1"/>
        <v>9.8049749477545408E-3</v>
      </c>
      <c r="F25" s="619">
        <v>349639</v>
      </c>
      <c r="G25" s="620">
        <v>366108</v>
      </c>
      <c r="H25" s="620">
        <v>492586.41178300028</v>
      </c>
      <c r="I25" s="620">
        <v>436041.20581599983</v>
      </c>
      <c r="J25" s="193">
        <f t="shared" si="0"/>
        <v>6.5364665524163534E-3</v>
      </c>
      <c r="K25" s="620">
        <v>330523</v>
      </c>
      <c r="L25" s="193">
        <f t="shared" si="2"/>
        <v>1.1308451589810659E-2</v>
      </c>
      <c r="M25" s="620">
        <v>23686.990829562623</v>
      </c>
      <c r="N25" s="620">
        <v>42901.941913096438</v>
      </c>
      <c r="O25" s="620">
        <v>389521.81301135808</v>
      </c>
      <c r="P25" s="620">
        <v>61228.10309860712</v>
      </c>
      <c r="Q25" s="23">
        <f t="shared" si="3"/>
        <v>517338.84885262424</v>
      </c>
      <c r="R25" s="620">
        <v>15468.602722786798</v>
      </c>
      <c r="S25" s="620">
        <v>26233.791508767899</v>
      </c>
      <c r="T25" s="620">
        <v>338094.53557328088</v>
      </c>
      <c r="U25" s="620">
        <v>53850.22865626165</v>
      </c>
      <c r="V25" s="23">
        <f t="shared" si="4"/>
        <v>433647.15846109722</v>
      </c>
      <c r="W25" s="635">
        <v>794499.48285123613</v>
      </c>
      <c r="X25" s="620">
        <v>507113.05139855214</v>
      </c>
      <c r="Y25" s="602">
        <v>14.189842657349347</v>
      </c>
      <c r="Z25" s="645">
        <v>14.009168103141862</v>
      </c>
      <c r="AA25" s="788">
        <v>480010.91850600019</v>
      </c>
      <c r="AB25" s="788">
        <f t="shared" si="5"/>
        <v>441959.59216199996</v>
      </c>
      <c r="AC25" s="788">
        <v>49091.879830999998</v>
      </c>
      <c r="AD25" s="22">
        <v>22231.49547300001</v>
      </c>
      <c r="AE25" s="788">
        <v>42586.25699799999</v>
      </c>
      <c r="AF25" s="22">
        <v>377141.83969099994</v>
      </c>
      <c r="AG25" s="647">
        <f t="shared" si="6"/>
        <v>1.2732667906920604E-2</v>
      </c>
    </row>
    <row r="26" spans="1:33" ht="15">
      <c r="A26" s="22" t="s">
        <v>36</v>
      </c>
      <c r="B26" s="22" t="s">
        <v>37</v>
      </c>
      <c r="C26" s="620">
        <v>390898.05548444367</v>
      </c>
      <c r="D26" s="620">
        <v>323413.74365046696</v>
      </c>
      <c r="E26" s="193">
        <f t="shared" si="1"/>
        <v>-1.82597522310468E-3</v>
      </c>
      <c r="F26" s="619">
        <v>276821</v>
      </c>
      <c r="G26" s="620">
        <v>285248</v>
      </c>
      <c r="H26" s="620">
        <v>394486.53980400006</v>
      </c>
      <c r="I26" s="620">
        <v>331643.80690400011</v>
      </c>
      <c r="J26" s="193">
        <f t="shared" si="0"/>
        <v>-5.0132074382105065E-3</v>
      </c>
      <c r="K26" s="620">
        <v>281586</v>
      </c>
      <c r="L26" s="193">
        <f t="shared" si="2"/>
        <v>-3.4075449404229003E-3</v>
      </c>
      <c r="M26" s="620">
        <v>14060.730019821518</v>
      </c>
      <c r="N26" s="620">
        <v>29051.654485560273</v>
      </c>
      <c r="O26" s="620">
        <v>287324.18750381615</v>
      </c>
      <c r="P26" s="620">
        <v>60361.58817000594</v>
      </c>
      <c r="Q26" s="23">
        <f t="shared" si="3"/>
        <v>390798.1601792039</v>
      </c>
      <c r="R26" s="620">
        <v>8626.3498711636112</v>
      </c>
      <c r="S26" s="620">
        <v>17200.809644263743</v>
      </c>
      <c r="T26" s="620">
        <v>247061.70817607426</v>
      </c>
      <c r="U26" s="620">
        <v>52694.669161526872</v>
      </c>
      <c r="V26" s="23">
        <f t="shared" si="4"/>
        <v>325583.53685302852</v>
      </c>
      <c r="W26" s="635">
        <v>614788.98689081438</v>
      </c>
      <c r="X26" s="620">
        <v>392154.17304492847</v>
      </c>
      <c r="Y26" s="602">
        <v>14.311875696865041</v>
      </c>
      <c r="Z26" s="645">
        <v>14.171843034329285</v>
      </c>
      <c r="AA26" s="788">
        <v>397070.17002600001</v>
      </c>
      <c r="AB26" s="788">
        <f t="shared" si="5"/>
        <v>338971.43115799996</v>
      </c>
      <c r="AC26" s="788">
        <v>55927.436594000021</v>
      </c>
      <c r="AD26" s="22">
        <v>15283.762476</v>
      </c>
      <c r="AE26" s="788">
        <v>30096.350013000003</v>
      </c>
      <c r="AF26" s="22">
        <v>293591.31866899994</v>
      </c>
      <c r="AG26" s="647">
        <f t="shared" si="6"/>
        <v>9.7843682758109295E-3</v>
      </c>
    </row>
    <row r="27" spans="1:33" ht="15">
      <c r="A27" s="22" t="s">
        <v>38</v>
      </c>
      <c r="B27" s="22" t="s">
        <v>39</v>
      </c>
      <c r="C27" s="620">
        <v>417045.32008557406</v>
      </c>
      <c r="D27" s="620">
        <v>371915.59393134661</v>
      </c>
      <c r="E27" s="193">
        <f t="shared" si="1"/>
        <v>1.2593737969212688E-2</v>
      </c>
      <c r="F27" s="619">
        <v>298990</v>
      </c>
      <c r="G27" s="620">
        <v>312320</v>
      </c>
      <c r="H27" s="620">
        <v>391748.25037000014</v>
      </c>
      <c r="I27" s="620">
        <v>352190.44199099991</v>
      </c>
      <c r="J27" s="193">
        <f t="shared" si="0"/>
        <v>1.095858475281066E-2</v>
      </c>
      <c r="K27" s="620">
        <v>279463</v>
      </c>
      <c r="L27" s="193">
        <f t="shared" si="2"/>
        <v>1.3599690509002969E-2</v>
      </c>
      <c r="M27" s="620">
        <v>21088.63595743485</v>
      </c>
      <c r="N27" s="620">
        <v>32197.413200017734</v>
      </c>
      <c r="O27" s="620">
        <v>318336.89404869662</v>
      </c>
      <c r="P27" s="620">
        <v>44506.788986067128</v>
      </c>
      <c r="Q27" s="23">
        <f t="shared" si="3"/>
        <v>416129.73219221632</v>
      </c>
      <c r="R27" s="620">
        <v>14539.086740985496</v>
      </c>
      <c r="S27" s="620">
        <v>19029.6193418822</v>
      </c>
      <c r="T27" s="620">
        <v>260867.71597647262</v>
      </c>
      <c r="U27" s="620">
        <v>38707.728332225364</v>
      </c>
      <c r="V27" s="23">
        <f t="shared" si="4"/>
        <v>333144.15039156569</v>
      </c>
      <c r="W27" s="635">
        <v>607870.41466160107</v>
      </c>
      <c r="X27" s="620">
        <v>403718.39871935971</v>
      </c>
      <c r="Y27" s="602">
        <v>14.249255432720512</v>
      </c>
      <c r="Z27" s="645">
        <v>14.059346151643572</v>
      </c>
      <c r="AA27" s="788">
        <v>382182.18202600011</v>
      </c>
      <c r="AB27" s="788">
        <f t="shared" si="5"/>
        <v>357527.898315</v>
      </c>
      <c r="AC27" s="788">
        <v>34535.972819999995</v>
      </c>
      <c r="AD27" s="22">
        <v>19837.030167999998</v>
      </c>
      <c r="AE27" s="788">
        <v>31979.796924000013</v>
      </c>
      <c r="AF27" s="22">
        <v>305711.07122300001</v>
      </c>
      <c r="AG27" s="647">
        <f t="shared" si="6"/>
        <v>1.3327663468004906E-2</v>
      </c>
    </row>
    <row r="28" spans="1:33" ht="15">
      <c r="A28" s="22" t="s">
        <v>40</v>
      </c>
      <c r="B28" s="22" t="s">
        <v>41</v>
      </c>
      <c r="C28" s="620">
        <v>341438.15325158241</v>
      </c>
      <c r="D28" s="620">
        <v>305920.6029943772</v>
      </c>
      <c r="E28" s="193">
        <f t="shared" si="1"/>
        <v>2.1381332100242707E-4</v>
      </c>
      <c r="F28" s="619">
        <v>248732</v>
      </c>
      <c r="G28" s="620">
        <v>254581</v>
      </c>
      <c r="H28" s="620">
        <v>341073.36714600015</v>
      </c>
      <c r="I28" s="620">
        <v>309603.75256300007</v>
      </c>
      <c r="J28" s="193">
        <f t="shared" si="0"/>
        <v>-2.3906700611534453E-3</v>
      </c>
      <c r="K28" s="620">
        <v>247030</v>
      </c>
      <c r="L28" s="193">
        <f t="shared" si="2"/>
        <v>1.3741883064232832E-3</v>
      </c>
      <c r="M28" s="620">
        <v>17590.368979337854</v>
      </c>
      <c r="N28" s="620">
        <v>27450.342132213009</v>
      </c>
      <c r="O28" s="620">
        <v>263989.68517971766</v>
      </c>
      <c r="P28" s="620">
        <v>31625.566417913902</v>
      </c>
      <c r="Q28" s="23">
        <f t="shared" si="3"/>
        <v>340655.96270918241</v>
      </c>
      <c r="R28" s="620">
        <v>12205.68159135022</v>
      </c>
      <c r="S28" s="620">
        <v>17756.333357394185</v>
      </c>
      <c r="T28" s="620">
        <v>225036.63418392104</v>
      </c>
      <c r="U28" s="620">
        <v>27790.66633250011</v>
      </c>
      <c r="V28" s="23">
        <f t="shared" si="4"/>
        <v>282789.31546516553</v>
      </c>
      <c r="W28" s="635">
        <v>516943.21594985225</v>
      </c>
      <c r="X28" s="620">
        <v>328860.3756907534</v>
      </c>
      <c r="Y28" s="602">
        <v>13.989387559810201</v>
      </c>
      <c r="Z28" s="645">
        <v>13.833107097891439</v>
      </c>
      <c r="AA28" s="788">
        <v>331286.92345599999</v>
      </c>
      <c r="AB28" s="788">
        <f t="shared" si="5"/>
        <v>313466.07517900004</v>
      </c>
      <c r="AC28" s="788">
        <v>27608.131136000007</v>
      </c>
      <c r="AD28" s="22">
        <v>16880.866139000002</v>
      </c>
      <c r="AE28" s="788">
        <v>28105.850847000005</v>
      </c>
      <c r="AF28" s="22">
        <v>268479.35819300002</v>
      </c>
      <c r="AG28" s="647">
        <f t="shared" si="6"/>
        <v>1.1171358377956181E-2</v>
      </c>
    </row>
    <row r="29" spans="1:33" ht="15">
      <c r="A29" s="22" t="s">
        <v>42</v>
      </c>
      <c r="B29" s="22" t="s">
        <v>43</v>
      </c>
      <c r="C29" s="620">
        <v>301096.00860502064</v>
      </c>
      <c r="D29" s="620">
        <v>267233.7837881071</v>
      </c>
      <c r="E29" s="193">
        <f t="shared" si="1"/>
        <v>2.0069205227618171E-3</v>
      </c>
      <c r="F29" s="619">
        <v>208191</v>
      </c>
      <c r="G29" s="620">
        <v>210415</v>
      </c>
      <c r="H29" s="620">
        <v>298092.7359669999</v>
      </c>
      <c r="I29" s="620">
        <v>267119.71542400005</v>
      </c>
      <c r="J29" s="193">
        <f t="shared" si="0"/>
        <v>8.5391589034873892E-5</v>
      </c>
      <c r="K29" s="620">
        <v>206303</v>
      </c>
      <c r="L29" s="193">
        <f t="shared" si="2"/>
        <v>1.8236539740428181E-3</v>
      </c>
      <c r="M29" s="620">
        <v>14376.933729833838</v>
      </c>
      <c r="N29" s="620">
        <v>29207.20679336552</v>
      </c>
      <c r="O29" s="620">
        <v>227598.78457915215</v>
      </c>
      <c r="P29" s="620">
        <v>30867.646974540279</v>
      </c>
      <c r="Q29" s="23">
        <f t="shared" si="3"/>
        <v>302050.57207689178</v>
      </c>
      <c r="R29" s="620">
        <v>9594.4100856775531</v>
      </c>
      <c r="S29" s="620">
        <v>18326.421806391165</v>
      </c>
      <c r="T29" s="620">
        <v>186268.86665283272</v>
      </c>
      <c r="U29" s="620">
        <v>26658.275751471148</v>
      </c>
      <c r="V29" s="23">
        <f t="shared" si="4"/>
        <v>240847.97429637259</v>
      </c>
      <c r="W29" s="635">
        <v>445380.14470288553</v>
      </c>
      <c r="X29" s="620">
        <v>289729.05340859259</v>
      </c>
      <c r="Y29" s="602">
        <v>15.388531046308852</v>
      </c>
      <c r="Z29" s="645">
        <v>15.166371190156772</v>
      </c>
      <c r="AA29" s="788">
        <v>288687.64905400004</v>
      </c>
      <c r="AB29" s="788">
        <f t="shared" si="5"/>
        <v>270760.06618699979</v>
      </c>
      <c r="AC29" s="788">
        <v>27478.675685000024</v>
      </c>
      <c r="AD29" s="22">
        <v>14613.389484999998</v>
      </c>
      <c r="AE29" s="788">
        <v>28124.878846999996</v>
      </c>
      <c r="AF29" s="22">
        <v>228021.79785499978</v>
      </c>
      <c r="AG29" s="647">
        <f t="shared" si="6"/>
        <v>1.443671624559437E-2</v>
      </c>
    </row>
    <row r="30" spans="1:33" ht="15">
      <c r="A30" s="22" t="s">
        <v>44</v>
      </c>
      <c r="B30" s="22" t="s">
        <v>45</v>
      </c>
      <c r="C30" s="620">
        <v>316797.98889073107</v>
      </c>
      <c r="D30" s="620">
        <v>282266.22755155683</v>
      </c>
      <c r="E30" s="193">
        <f t="shared" si="1"/>
        <v>6.7698179871740673E-3</v>
      </c>
      <c r="F30" s="619">
        <v>209361</v>
      </c>
      <c r="G30" s="620">
        <v>216861</v>
      </c>
      <c r="H30" s="620">
        <v>306289.05595600017</v>
      </c>
      <c r="I30" s="620">
        <v>274765.53133700002</v>
      </c>
      <c r="J30" s="193">
        <f t="shared" si="0"/>
        <v>5.4010482044277667E-3</v>
      </c>
      <c r="K30" s="620">
        <v>202854</v>
      </c>
      <c r="L30" s="193">
        <f t="shared" si="2"/>
        <v>6.3346850264598799E-3</v>
      </c>
      <c r="M30" s="620">
        <v>15011.917457953039</v>
      </c>
      <c r="N30" s="620">
        <v>27989.788503683289</v>
      </c>
      <c r="O30" s="620">
        <v>242304.94265928905</v>
      </c>
      <c r="P30" s="620">
        <v>31121.315426599398</v>
      </c>
      <c r="Q30" s="23">
        <f t="shared" si="3"/>
        <v>316427.96404752479</v>
      </c>
      <c r="R30" s="620">
        <v>10226.822992239788</v>
      </c>
      <c r="S30" s="620">
        <v>17472.165800868326</v>
      </c>
      <c r="T30" s="620">
        <v>201639.34774078787</v>
      </c>
      <c r="U30" s="620">
        <v>27871.276155870772</v>
      </c>
      <c r="V30" s="23">
        <f t="shared" si="4"/>
        <v>257209.61268976674</v>
      </c>
      <c r="W30" s="635">
        <v>471881.93116795295</v>
      </c>
      <c r="X30" s="620">
        <v>308990.85027792794</v>
      </c>
      <c r="Y30" s="602">
        <v>13.858271066005747</v>
      </c>
      <c r="Z30" s="645">
        <v>13.735824318387049</v>
      </c>
      <c r="AA30" s="788">
        <v>296912.1017419998</v>
      </c>
      <c r="AB30" s="788">
        <f t="shared" si="5"/>
        <v>276901.38966799993</v>
      </c>
      <c r="AC30" s="788">
        <v>28305.170554</v>
      </c>
      <c r="AD30" s="22">
        <v>14056.216788000007</v>
      </c>
      <c r="AE30" s="788">
        <v>27529.409150000003</v>
      </c>
      <c r="AF30" s="22">
        <v>235315.76372999995</v>
      </c>
      <c r="AG30" s="647">
        <f t="shared" si="6"/>
        <v>8.8356438574115348E-3</v>
      </c>
    </row>
    <row r="31" spans="1:33" ht="15">
      <c r="A31" s="22" t="s">
        <v>46</v>
      </c>
      <c r="B31" s="22" t="s">
        <v>47</v>
      </c>
      <c r="C31" s="620">
        <v>262818.65423091396</v>
      </c>
      <c r="D31" s="620">
        <v>237890.22008312101</v>
      </c>
      <c r="E31" s="193">
        <f t="shared" si="1"/>
        <v>-2.4753769444825408E-3</v>
      </c>
      <c r="F31" s="619">
        <v>175053</v>
      </c>
      <c r="G31" s="620">
        <v>175929</v>
      </c>
      <c r="H31" s="620">
        <v>266095.82691900019</v>
      </c>
      <c r="I31" s="620">
        <v>242894.58305399999</v>
      </c>
      <c r="J31" s="193">
        <f t="shared" si="0"/>
        <v>-4.1549895496374653E-3</v>
      </c>
      <c r="K31" s="620">
        <v>181626</v>
      </c>
      <c r="L31" s="193">
        <f t="shared" si="2"/>
        <v>-7.3450607232329983E-3</v>
      </c>
      <c r="M31" s="620">
        <v>14608.918996431961</v>
      </c>
      <c r="N31" s="620">
        <v>22146.868201338097</v>
      </c>
      <c r="O31" s="620">
        <v>204556.00037307784</v>
      </c>
      <c r="P31" s="620">
        <v>21786.036171379325</v>
      </c>
      <c r="Q31" s="23">
        <f t="shared" si="3"/>
        <v>263097.82374222722</v>
      </c>
      <c r="R31" s="620">
        <v>10039.92591201566</v>
      </c>
      <c r="S31" s="620">
        <v>12986.909585784433</v>
      </c>
      <c r="T31" s="620">
        <v>174530.1012898341</v>
      </c>
      <c r="U31" s="620">
        <v>19530.805860887518</v>
      </c>
      <c r="V31" s="23">
        <f t="shared" si="4"/>
        <v>217087.7426485217</v>
      </c>
      <c r="W31" s="635">
        <v>427910.66137865995</v>
      </c>
      <c r="X31" s="620">
        <v>266101.26428249734</v>
      </c>
      <c r="Y31" s="602">
        <v>13.882914775131262</v>
      </c>
      <c r="Z31" s="645">
        <v>13.749689694954252</v>
      </c>
      <c r="AA31" s="788">
        <v>270175.45698400005</v>
      </c>
      <c r="AB31" s="788">
        <f t="shared" si="5"/>
        <v>245701.29925200006</v>
      </c>
      <c r="AC31" s="788">
        <v>20631.636114000001</v>
      </c>
      <c r="AD31" s="22">
        <v>14212.289783999995</v>
      </c>
      <c r="AE31" s="788">
        <v>23178.054339000006</v>
      </c>
      <c r="AF31" s="22">
        <v>208310.95512900007</v>
      </c>
      <c r="AG31" s="647">
        <f t="shared" si="6"/>
        <v>9.5963335030809314E-3</v>
      </c>
    </row>
    <row r="32" spans="1:33" ht="15">
      <c r="A32" s="27" t="s">
        <v>56</v>
      </c>
      <c r="B32" s="22" t="s">
        <v>63</v>
      </c>
      <c r="C32" s="620">
        <v>216035.51094322678</v>
      </c>
      <c r="D32" s="620">
        <v>181601.88990680347</v>
      </c>
      <c r="E32" s="193">
        <f t="shared" si="1"/>
        <v>4.8255307600540579E-4</v>
      </c>
      <c r="F32" s="619">
        <v>123885</v>
      </c>
      <c r="G32" s="620">
        <v>127601</v>
      </c>
      <c r="H32" s="620">
        <v>215515.02167499997</v>
      </c>
      <c r="I32" s="620">
        <v>185093.00602499998</v>
      </c>
      <c r="J32" s="193">
        <f t="shared" si="0"/>
        <v>-3.8010697620124933E-3</v>
      </c>
      <c r="K32" s="620">
        <v>122331</v>
      </c>
      <c r="L32" s="193">
        <f t="shared" si="2"/>
        <v>2.5278356616459429E-3</v>
      </c>
      <c r="M32" s="620">
        <v>7491.6123669292001</v>
      </c>
      <c r="N32" s="620">
        <v>19856.274212515014</v>
      </c>
      <c r="O32" s="620">
        <v>158755.64438657265</v>
      </c>
      <c r="P32" s="620">
        <v>30534.762422067568</v>
      </c>
      <c r="Q32" s="23">
        <f t="shared" si="3"/>
        <v>216638.29338808445</v>
      </c>
      <c r="R32" s="620">
        <v>4659.5158613829926</v>
      </c>
      <c r="S32" s="620">
        <v>12984.221249037608</v>
      </c>
      <c r="T32" s="620">
        <v>133278.97088002966</v>
      </c>
      <c r="U32" s="620">
        <v>27007.501856393854</v>
      </c>
      <c r="V32" s="23">
        <f t="shared" si="4"/>
        <v>177930.20984684411</v>
      </c>
      <c r="W32" s="635">
        <v>372137.95063877921</v>
      </c>
      <c r="X32" s="620">
        <v>224166.88051071553</v>
      </c>
      <c r="Y32" s="602">
        <v>13.223208674890307</v>
      </c>
      <c r="Z32" s="645">
        <v>13.073932935456888</v>
      </c>
      <c r="AA32" s="788">
        <v>223862.05626399998</v>
      </c>
      <c r="AB32" s="788">
        <f t="shared" si="5"/>
        <v>187914.27821799996</v>
      </c>
      <c r="AC32" s="788">
        <v>27586.212919000001</v>
      </c>
      <c r="AD32" s="22">
        <v>7949.9379540000009</v>
      </c>
      <c r="AE32" s="788">
        <v>22449.041776999999</v>
      </c>
      <c r="AF32" s="22">
        <v>157515.29848699996</v>
      </c>
      <c r="AG32" s="647">
        <f t="shared" si="6"/>
        <v>1.1288919588547375E-2</v>
      </c>
    </row>
    <row r="33" spans="1:33" ht="15">
      <c r="A33" s="22" t="s">
        <v>57</v>
      </c>
      <c r="B33" s="22" t="s">
        <v>64</v>
      </c>
      <c r="C33" s="620">
        <v>170882.19072471099</v>
      </c>
      <c r="D33" s="620">
        <v>156802.47121051064</v>
      </c>
      <c r="E33" s="193">
        <f t="shared" si="1"/>
        <v>-3.9597934110504043E-3</v>
      </c>
      <c r="F33" s="619">
        <v>119997</v>
      </c>
      <c r="G33" s="620">
        <v>125760</v>
      </c>
      <c r="H33" s="620">
        <v>174306.047299</v>
      </c>
      <c r="I33" s="620">
        <v>161084.21004200008</v>
      </c>
      <c r="J33" s="193">
        <f t="shared" si="0"/>
        <v>-5.3735911123860254E-3</v>
      </c>
      <c r="K33" s="620">
        <v>122062</v>
      </c>
      <c r="L33" s="193">
        <f t="shared" si="2"/>
        <v>-3.406658107415827E-3</v>
      </c>
      <c r="M33" s="620">
        <v>10726.261491411744</v>
      </c>
      <c r="N33" s="620">
        <v>16438.400880707661</v>
      </c>
      <c r="O33" s="620">
        <v>131313.20710977286</v>
      </c>
      <c r="P33" s="620">
        <v>12371.093389568116</v>
      </c>
      <c r="Q33" s="23">
        <f t="shared" si="3"/>
        <v>170848.96287146039</v>
      </c>
      <c r="R33" s="620">
        <v>6459.2180837239503</v>
      </c>
      <c r="S33" s="620">
        <v>9557.6186671681226</v>
      </c>
      <c r="T33" s="620">
        <v>110588.00397467721</v>
      </c>
      <c r="U33" s="620">
        <v>11095.790037401874</v>
      </c>
      <c r="V33" s="23">
        <f t="shared" si="4"/>
        <v>137700.63076297115</v>
      </c>
      <c r="W33" s="635">
        <v>342127.22379217029</v>
      </c>
      <c r="X33" s="620">
        <v>183223.07750851047</v>
      </c>
      <c r="Y33" s="602">
        <v>12.294837995818042</v>
      </c>
      <c r="Z33" s="645">
        <v>12.204248163133006</v>
      </c>
      <c r="AA33" s="788">
        <v>187230.04401600006</v>
      </c>
      <c r="AB33" s="788">
        <f t="shared" si="5"/>
        <v>163173.37378099997</v>
      </c>
      <c r="AC33" s="788">
        <v>11724.524475</v>
      </c>
      <c r="AD33" s="22">
        <v>10415.874184</v>
      </c>
      <c r="AE33" s="788">
        <v>15933.825516000004</v>
      </c>
      <c r="AF33" s="22">
        <v>136823.67408099998</v>
      </c>
      <c r="AG33" s="647">
        <f t="shared" si="6"/>
        <v>7.3681192640236591E-3</v>
      </c>
    </row>
    <row r="34" spans="1:33" ht="15">
      <c r="A34" s="22" t="s">
        <v>48</v>
      </c>
      <c r="B34" s="22" t="s">
        <v>49</v>
      </c>
      <c r="C34" s="620">
        <v>247121.68272657707</v>
      </c>
      <c r="D34" s="620">
        <v>209957.97164805298</v>
      </c>
      <c r="E34" s="193">
        <f t="shared" si="1"/>
        <v>1.4396105548266059E-2</v>
      </c>
      <c r="F34" s="619">
        <v>160048</v>
      </c>
      <c r="G34" s="620">
        <v>167207</v>
      </c>
      <c r="H34" s="620">
        <v>230076.88376599998</v>
      </c>
      <c r="I34" s="620">
        <v>199071.95874799992</v>
      </c>
      <c r="J34" s="193">
        <f t="shared" si="0"/>
        <v>1.0705096785978696E-2</v>
      </c>
      <c r="K34" s="620">
        <v>152974</v>
      </c>
      <c r="L34" s="193">
        <f t="shared" si="2"/>
        <v>9.0821543231330588E-3</v>
      </c>
      <c r="M34" s="620">
        <v>11196.581764647932</v>
      </c>
      <c r="N34" s="620">
        <v>22141.79126050125</v>
      </c>
      <c r="O34" s="620">
        <v>180983.66345099552</v>
      </c>
      <c r="P34" s="620">
        <v>33082.98214324841</v>
      </c>
      <c r="Q34" s="23">
        <f t="shared" si="3"/>
        <v>247405.01861939309</v>
      </c>
      <c r="R34" s="620">
        <v>6939.4367513299876</v>
      </c>
      <c r="S34" s="620">
        <v>13054.121649671337</v>
      </c>
      <c r="T34" s="620">
        <v>150286.02459794265</v>
      </c>
      <c r="U34" s="620">
        <v>28518.813205464805</v>
      </c>
      <c r="V34" s="23">
        <f t="shared" si="4"/>
        <v>198798.39620440878</v>
      </c>
      <c r="W34" s="635">
        <v>394965.79332694429</v>
      </c>
      <c r="X34" s="620">
        <v>230950.69736248982</v>
      </c>
      <c r="Y34" s="602">
        <v>14.094369694015297</v>
      </c>
      <c r="Z34" s="645">
        <v>13.964184858858722</v>
      </c>
      <c r="AA34" s="788">
        <v>213888.44402700002</v>
      </c>
      <c r="AB34" s="788">
        <f t="shared" si="5"/>
        <v>201340.4538680001</v>
      </c>
      <c r="AC34" s="788">
        <v>27375.587456999991</v>
      </c>
      <c r="AD34" s="22">
        <v>11119.457635999997</v>
      </c>
      <c r="AE34" s="788">
        <v>21213.330553000007</v>
      </c>
      <c r="AF34" s="22">
        <v>169007.66567900009</v>
      </c>
      <c r="AG34" s="647">
        <f t="shared" si="6"/>
        <v>9.2366553441445131E-3</v>
      </c>
    </row>
    <row r="35" spans="1:33" ht="15">
      <c r="A35" s="22" t="s">
        <v>58</v>
      </c>
      <c r="B35" s="22" t="s">
        <v>65</v>
      </c>
      <c r="C35" s="620">
        <v>197743.15087899708</v>
      </c>
      <c r="D35" s="620">
        <v>163904.52056882379</v>
      </c>
      <c r="E35" s="193">
        <f t="shared" si="1"/>
        <v>8.7113868294800461E-4</v>
      </c>
      <c r="F35" s="619">
        <v>122710</v>
      </c>
      <c r="G35" s="620">
        <v>124641</v>
      </c>
      <c r="H35" s="620">
        <v>196884.08872900004</v>
      </c>
      <c r="I35" s="620">
        <v>165539.76072299996</v>
      </c>
      <c r="J35" s="193">
        <f t="shared" si="0"/>
        <v>-1.9834993384559092E-3</v>
      </c>
      <c r="K35" s="620">
        <v>123116</v>
      </c>
      <c r="L35" s="193">
        <f t="shared" si="2"/>
        <v>-6.6041230881580711E-4</v>
      </c>
      <c r="M35" s="620">
        <v>9131.2285430005268</v>
      </c>
      <c r="N35" s="620">
        <v>17892.458609508452</v>
      </c>
      <c r="O35" s="620">
        <v>139741.01287418179</v>
      </c>
      <c r="P35" s="620">
        <v>31207.388397590865</v>
      </c>
      <c r="Q35" s="23">
        <f t="shared" si="3"/>
        <v>197972.08842428165</v>
      </c>
      <c r="R35" s="620">
        <v>5515.6522479138102</v>
      </c>
      <c r="S35" s="620">
        <v>10579.56793215568</v>
      </c>
      <c r="T35" s="620">
        <v>115191.3837828862</v>
      </c>
      <c r="U35" s="620">
        <v>27331.394909498813</v>
      </c>
      <c r="V35" s="23">
        <f t="shared" si="4"/>
        <v>158617.99887245451</v>
      </c>
      <c r="W35" s="635">
        <v>325784.66416537663</v>
      </c>
      <c r="X35" s="620">
        <v>197446.98554109602</v>
      </c>
      <c r="Y35" s="602">
        <v>13.174346502624116</v>
      </c>
      <c r="Z35" s="645">
        <v>13.033938239280731</v>
      </c>
      <c r="AA35" s="788">
        <v>197332.04600899998</v>
      </c>
      <c r="AB35" s="788">
        <f t="shared" si="5"/>
        <v>168860.131692</v>
      </c>
      <c r="AC35" s="788">
        <v>27899.254808999991</v>
      </c>
      <c r="AD35" s="22">
        <v>9268.6260739999943</v>
      </c>
      <c r="AE35" s="788">
        <v>18235.598018000001</v>
      </c>
      <c r="AF35" s="22">
        <v>141355.90760000001</v>
      </c>
      <c r="AG35" s="647">
        <f t="shared" si="6"/>
        <v>1.065770232439371E-2</v>
      </c>
    </row>
    <row r="36" spans="1:33" ht="15">
      <c r="A36" s="22" t="s">
        <v>69</v>
      </c>
      <c r="B36" s="22" t="s">
        <v>70</v>
      </c>
      <c r="C36" s="620">
        <v>397729.62286222901</v>
      </c>
      <c r="D36" s="620">
        <v>353205.12828225998</v>
      </c>
      <c r="E36" s="158">
        <f t="shared" si="1"/>
        <v>7.5456074342764015E-3</v>
      </c>
      <c r="F36" s="619">
        <v>277949</v>
      </c>
      <c r="G36" s="620">
        <v>290276</v>
      </c>
      <c r="H36" s="620">
        <v>383057.85154399998</v>
      </c>
      <c r="I36" s="620">
        <v>345512.96274300001</v>
      </c>
      <c r="J36" s="193">
        <f t="shared" si="0"/>
        <v>4.4134761867579636E-3</v>
      </c>
      <c r="K36" s="620">
        <v>265806</v>
      </c>
      <c r="L36" s="193">
        <f t="shared" si="2"/>
        <v>8.9742137964781213E-3</v>
      </c>
      <c r="M36" s="620">
        <v>18084.525395166675</v>
      </c>
      <c r="N36" s="620">
        <v>32893.816458970388</v>
      </c>
      <c r="O36" s="620">
        <v>306406.9534426225</v>
      </c>
      <c r="P36" s="620">
        <v>40092.273688160763</v>
      </c>
      <c r="Q36" s="23">
        <f>SUM(M36:P36)</f>
        <v>397477.56898492033</v>
      </c>
      <c r="R36" s="620">
        <v>11677.160516532444</v>
      </c>
      <c r="S36" s="620">
        <v>20662.251348614805</v>
      </c>
      <c r="T36" s="620">
        <v>267320.37948774418</v>
      </c>
      <c r="U36" s="620">
        <v>35231.132523894637</v>
      </c>
      <c r="V36" s="23">
        <f t="shared" si="4"/>
        <v>334890.92387678608</v>
      </c>
      <c r="W36" s="635">
        <v>519593.91053900128</v>
      </c>
      <c r="X36" s="620">
        <v>319164.81067562511</v>
      </c>
      <c r="Y36" s="602">
        <v>14.389436407741499</v>
      </c>
      <c r="Z36" s="832">
        <v>14.179078321786458</v>
      </c>
      <c r="AA36" s="788">
        <v>306204.56118100003</v>
      </c>
      <c r="AB36" s="788">
        <f t="shared" si="5"/>
        <v>349010.46305600007</v>
      </c>
      <c r="AC36" s="788">
        <v>32235.874377999997</v>
      </c>
      <c r="AD36" s="22">
        <v>16866.772364</v>
      </c>
      <c r="AE36" s="788">
        <v>32551.554055999997</v>
      </c>
      <c r="AF36" s="22">
        <v>299592.13663600007</v>
      </c>
      <c r="AG36" s="647">
        <f t="shared" si="6"/>
        <v>1.4618924605126938E-2</v>
      </c>
    </row>
    <row r="37" spans="1:33" ht="15">
      <c r="A37" s="22" t="s">
        <v>71</v>
      </c>
      <c r="B37" s="22" t="s">
        <v>114</v>
      </c>
      <c r="C37" s="620">
        <v>639923.82044794306</v>
      </c>
      <c r="D37" s="620">
        <v>550767.73711402004</v>
      </c>
      <c r="E37" s="193">
        <f t="shared" si="1"/>
        <v>8.8134112208980795E-3</v>
      </c>
      <c r="F37" s="619">
        <v>406811</v>
      </c>
      <c r="G37" s="620">
        <v>424071</v>
      </c>
      <c r="H37" s="620">
        <v>612454.79747800005</v>
      </c>
      <c r="I37" s="620">
        <v>534976.29072799999</v>
      </c>
      <c r="J37" s="193">
        <f t="shared" si="0"/>
        <v>5.8351105258706909E-3</v>
      </c>
      <c r="K37" s="620">
        <v>385475</v>
      </c>
      <c r="L37" s="193">
        <f t="shared" si="2"/>
        <v>1.0832726474925386E-2</v>
      </c>
      <c r="M37" s="620">
        <v>29221.617184276558</v>
      </c>
      <c r="N37" s="620">
        <v>55304.575759896805</v>
      </c>
      <c r="O37" s="620">
        <v>474039.49403518956</v>
      </c>
      <c r="P37" s="620">
        <v>81433.519978449884</v>
      </c>
      <c r="Q37" s="23">
        <f t="shared" si="3"/>
        <v>639999.20695781289</v>
      </c>
      <c r="R37" s="620">
        <v>19018.625795089112</v>
      </c>
      <c r="S37" s="620">
        <v>33567.280343366059</v>
      </c>
      <c r="T37" s="620">
        <v>409607.6029184729</v>
      </c>
      <c r="U37" s="620">
        <v>71861.781302547737</v>
      </c>
      <c r="V37" s="23">
        <f t="shared" si="4"/>
        <v>534055.29035947588</v>
      </c>
      <c r="W37" s="635">
        <v>991656.13429861132</v>
      </c>
      <c r="X37" s="620">
        <v>630082.02478266379</v>
      </c>
      <c r="Y37" s="602">
        <v>13.9203574523537</v>
      </c>
      <c r="Z37" s="645">
        <v>13.743413535452037</v>
      </c>
      <c r="AA37" s="788">
        <v>603661.73092899995</v>
      </c>
      <c r="AB37" s="10">
        <f t="shared" si="5"/>
        <v>543071.26678399974</v>
      </c>
      <c r="AC37" s="788">
        <v>68306.215056000059</v>
      </c>
      <c r="AD37" s="22">
        <v>27446.568183000014</v>
      </c>
      <c r="AE37" s="788">
        <v>55231.962119999989</v>
      </c>
      <c r="AF37" s="22">
        <v>460392.73648099974</v>
      </c>
      <c r="AG37" s="647">
        <f t="shared" si="6"/>
        <v>1.2711161872624563E-2</v>
      </c>
    </row>
    <row r="38" spans="1:33" ht="15">
      <c r="A38" s="22" t="s">
        <v>73</v>
      </c>
      <c r="B38" s="22" t="s">
        <v>74</v>
      </c>
      <c r="C38" s="620">
        <v>1331751.3008983401</v>
      </c>
      <c r="D38" s="620">
        <v>1120506.9053447701</v>
      </c>
      <c r="E38" s="193">
        <f t="shared" si="1"/>
        <v>4.7724567970413049E-3</v>
      </c>
      <c r="F38" s="619">
        <v>796925</v>
      </c>
      <c r="G38" s="620">
        <v>817907</v>
      </c>
      <c r="H38" s="620">
        <v>1300422.6408840001</v>
      </c>
      <c r="I38" s="620">
        <v>1106543.5228319999</v>
      </c>
      <c r="J38" s="193">
        <f t="shared" si="0"/>
        <v>2.5111403356661947E-3</v>
      </c>
      <c r="K38" s="620">
        <v>778425</v>
      </c>
      <c r="L38" s="193">
        <f t="shared" si="2"/>
        <v>4.7086357403117495E-3</v>
      </c>
      <c r="M38" s="620">
        <v>60566.786538863089</v>
      </c>
      <c r="N38" s="620">
        <v>117878.49926042619</v>
      </c>
      <c r="O38" s="620">
        <v>962216.27034707053</v>
      </c>
      <c r="P38" s="620">
        <v>193040.85910768746</v>
      </c>
      <c r="Q38" s="23">
        <f t="shared" si="3"/>
        <v>1333702.4152540471</v>
      </c>
      <c r="R38" s="620">
        <v>39763.280583974323</v>
      </c>
      <c r="S38" s="620">
        <v>71741.721657224931</v>
      </c>
      <c r="T38" s="620">
        <v>821972.12161768985</v>
      </c>
      <c r="U38" s="620">
        <v>171213.15238785686</v>
      </c>
      <c r="V38" s="23">
        <f t="shared" si="4"/>
        <v>1104690.2762467461</v>
      </c>
      <c r="W38" s="635">
        <v>2089197.1228057828</v>
      </c>
      <c r="X38" s="620">
        <v>1329284.2374183</v>
      </c>
      <c r="Y38" s="602" t="s">
        <v>916</v>
      </c>
      <c r="Z38" s="645">
        <v>13.098953263660176</v>
      </c>
      <c r="AA38" s="788">
        <v>1300967.316866</v>
      </c>
      <c r="AB38" s="10">
        <f t="shared" si="5"/>
        <v>1126226.2485109989</v>
      </c>
      <c r="AC38" s="788">
        <v>175091.85312099999</v>
      </c>
      <c r="AD38" s="22">
        <v>58010.856542999922</v>
      </c>
      <c r="AE38" s="788">
        <v>118437.41673999988</v>
      </c>
      <c r="AF38" s="22">
        <v>949777.97522799904</v>
      </c>
      <c r="AG38" s="647" t="s">
        <v>1434</v>
      </c>
    </row>
    <row r="39" spans="1:33" ht="15">
      <c r="A39" s="27" t="s">
        <v>1413</v>
      </c>
      <c r="B39" s="22" t="s">
        <v>1406</v>
      </c>
      <c r="C39" s="620">
        <v>2316554.8011451494</v>
      </c>
      <c r="D39" s="620">
        <v>1955621.8445632581</v>
      </c>
      <c r="E39" s="193">
        <f t="shared" si="1"/>
        <v>1.7530886997085431E-3</v>
      </c>
      <c r="F39" s="619">
        <v>1348040</v>
      </c>
      <c r="G39" s="620">
        <v>1370441</v>
      </c>
      <c r="H39" s="620">
        <v>2296355.5283240015</v>
      </c>
      <c r="I39" s="620">
        <v>1956170.7251310023</v>
      </c>
      <c r="J39" s="193">
        <f t="shared" si="0"/>
        <v>-5.6124158803578889E-5</v>
      </c>
      <c r="K39" s="620">
        <v>1336401</v>
      </c>
      <c r="L39" s="193">
        <f t="shared" si="2"/>
        <v>1.7358059423054279E-3</v>
      </c>
      <c r="M39" s="620">
        <v>110752.52861639213</v>
      </c>
      <c r="N39" s="620">
        <v>202988.41361142846</v>
      </c>
      <c r="O39" s="620">
        <v>1671889.5260857574</v>
      </c>
      <c r="P39" s="620">
        <v>330208.81189481384</v>
      </c>
      <c r="Q39" s="23">
        <f t="shared" si="3"/>
        <v>2315839.2802083921</v>
      </c>
      <c r="R39" s="620">
        <v>72917.155351793408</v>
      </c>
      <c r="S39" s="620">
        <v>123280.6141690543</v>
      </c>
      <c r="T39" s="620">
        <v>1420092.0558536858</v>
      </c>
      <c r="U39" s="620">
        <v>293910.34281389095</v>
      </c>
      <c r="V39" s="23">
        <f t="shared" si="4"/>
        <v>1910200.1681884243</v>
      </c>
      <c r="W39" s="635">
        <v>3627542.4863822255</v>
      </c>
      <c r="X39" s="620">
        <v>2309298.3609901909</v>
      </c>
      <c r="Y39" s="602">
        <v>12.9479421295883</v>
      </c>
      <c r="Z39" s="645">
        <v>12.7978064474178</v>
      </c>
      <c r="AA39" s="788">
        <v>2296388.921616009</v>
      </c>
      <c r="AB39" s="788">
        <f t="shared" si="5"/>
        <v>1987450.4407270045</v>
      </c>
      <c r="AC39" s="788">
        <v>309556.78154900053</v>
      </c>
      <c r="AD39" s="22">
        <v>106726.13848000013</v>
      </c>
      <c r="AE39" s="788">
        <v>207261.35208899993</v>
      </c>
      <c r="AF39" s="22">
        <v>1673462.9501580044</v>
      </c>
      <c r="AG39" s="647">
        <f t="shared" si="6"/>
        <v>1.1595331572220582E-2</v>
      </c>
    </row>
    <row r="40" spans="1:33" ht="15">
      <c r="A40" s="22" t="s">
        <v>75</v>
      </c>
      <c r="B40" s="22" t="s">
        <v>1194</v>
      </c>
      <c r="C40" s="620">
        <v>25746839.79323478</v>
      </c>
      <c r="D40" s="620">
        <v>22394154.853725448</v>
      </c>
      <c r="E40" s="193">
        <f t="shared" si="1"/>
        <v>2.4578950211434343E-4</v>
      </c>
      <c r="F40" s="619">
        <v>17224261</v>
      </c>
      <c r="G40" s="620">
        <v>17538673</v>
      </c>
      <c r="H40" s="620">
        <v>25715221.596648008</v>
      </c>
      <c r="I40" s="620">
        <v>22585263.843546994</v>
      </c>
      <c r="J40" s="193">
        <f t="shared" si="0"/>
        <v>-1.6980907109721765E-3</v>
      </c>
      <c r="K40" s="620">
        <v>17128592</v>
      </c>
      <c r="L40" s="193">
        <f t="shared" si="2"/>
        <v>1.1145805324202622E-3</v>
      </c>
      <c r="M40" s="620">
        <v>1231037.8609446774</v>
      </c>
      <c r="N40" s="620">
        <v>2172361.1237609945</v>
      </c>
      <c r="O40" s="620">
        <v>19321561.688756727</v>
      </c>
      <c r="P40" s="620">
        <v>3022173.2011979204</v>
      </c>
      <c r="Q40" s="23">
        <f t="shared" si="3"/>
        <v>25747133.874660321</v>
      </c>
      <c r="R40" s="620">
        <v>806743.46357675886</v>
      </c>
      <c r="S40" s="620">
        <v>1334197.3490169302</v>
      </c>
      <c r="T40" s="620">
        <v>16446486.911241809</v>
      </c>
      <c r="U40" s="620">
        <v>2663256.8407223439</v>
      </c>
      <c r="V40" s="23">
        <f t="shared" si="4"/>
        <v>21250684.564557843</v>
      </c>
      <c r="W40" s="635">
        <v>40571371.95574829</v>
      </c>
      <c r="X40" s="620">
        <v>25832863.628487639</v>
      </c>
      <c r="Y40" s="602">
        <v>14.458126064065601</v>
      </c>
      <c r="Z40" s="645">
        <v>14.275429319018484</v>
      </c>
      <c r="AA40" s="788">
        <v>25843719.490161005</v>
      </c>
      <c r="AB40" s="10">
        <f t="shared" si="5"/>
        <v>22912636.741361998</v>
      </c>
      <c r="AC40" s="788">
        <v>2799970.5092760008</v>
      </c>
      <c r="AD40" s="22">
        <v>1218996.9963540002</v>
      </c>
      <c r="AE40" s="788">
        <v>2209869.6850549998</v>
      </c>
      <c r="AF40" s="22">
        <v>19483770.059952997</v>
      </c>
      <c r="AG40" s="647">
        <f t="shared" si="6"/>
        <v>1.2636267261577832E-2</v>
      </c>
    </row>
    <row r="41" spans="1:33" ht="15">
      <c r="C41" s="620"/>
      <c r="D41" s="620"/>
      <c r="E41" s="193"/>
      <c r="F41" s="619"/>
      <c r="G41" s="620"/>
      <c r="H41" s="620"/>
      <c r="I41" s="620"/>
      <c r="J41" s="193"/>
      <c r="K41" s="620"/>
      <c r="L41" s="193"/>
      <c r="M41" s="620"/>
      <c r="N41" s="620"/>
      <c r="O41" s="620"/>
      <c r="P41" s="620"/>
      <c r="R41" s="620"/>
      <c r="S41" s="620"/>
      <c r="T41" s="620"/>
      <c r="U41" s="620"/>
      <c r="W41" s="635"/>
      <c r="X41" s="620"/>
      <c r="Y41" s="602"/>
      <c r="Z41" s="645"/>
      <c r="AB41" s="788"/>
      <c r="AE41" s="788"/>
      <c r="AG41" s="647"/>
    </row>
    <row r="42" spans="1:33" ht="15">
      <c r="A42" s="28" t="s">
        <v>66</v>
      </c>
      <c r="B42" s="28"/>
      <c r="E42" s="193"/>
      <c r="F42" s="217"/>
      <c r="I42" s="193"/>
      <c r="K42" s="193"/>
      <c r="U42" s="26"/>
    </row>
    <row r="43" spans="1:33" ht="15">
      <c r="A43" s="28"/>
      <c r="B43" s="28" t="s">
        <v>60</v>
      </c>
      <c r="E43" s="193"/>
      <c r="F43" s="217"/>
      <c r="I43" s="193"/>
      <c r="K43" s="193"/>
      <c r="O43" s="50"/>
      <c r="U43" s="26"/>
    </row>
    <row r="44" spans="1:33" ht="15">
      <c r="A44" s="28"/>
      <c r="B44" s="28" t="s">
        <v>62</v>
      </c>
      <c r="E44" s="193"/>
      <c r="F44" s="217"/>
      <c r="I44" s="193"/>
      <c r="K44" s="193"/>
      <c r="U44" s="26"/>
    </row>
    <row r="45" spans="1:33">
      <c r="A45" s="28"/>
      <c r="B45" s="28"/>
      <c r="U45" s="26"/>
    </row>
    <row r="46" spans="1:33" s="155" customFormat="1" ht="15.75">
      <c r="A46" s="155" t="s">
        <v>1654</v>
      </c>
      <c r="F46" s="303"/>
      <c r="AA46" s="639"/>
      <c r="AB46" s="639"/>
      <c r="AC46" s="639"/>
      <c r="AD46" s="639"/>
      <c r="AE46" s="639"/>
      <c r="AF46" s="639"/>
    </row>
    <row r="47" spans="1:33" ht="15">
      <c r="A47" s="22" t="s">
        <v>600</v>
      </c>
      <c r="B47" s="23"/>
      <c r="K47"/>
      <c r="L47"/>
      <c r="M47"/>
      <c r="N47"/>
      <c r="O47"/>
      <c r="P47"/>
      <c r="Q47"/>
      <c r="R47"/>
      <c r="S47"/>
    </row>
    <row r="48" spans="1:33" ht="15">
      <c r="A48"/>
      <c r="B48"/>
      <c r="C48" s="55">
        <v>2009</v>
      </c>
      <c r="D48" s="55">
        <v>2010</v>
      </c>
      <c r="E48" s="618">
        <v>2011</v>
      </c>
      <c r="F48" s="55">
        <v>2012</v>
      </c>
      <c r="G48" s="55">
        <v>2013</v>
      </c>
      <c r="H48" s="55">
        <v>2014</v>
      </c>
      <c r="I48" s="23">
        <v>2015</v>
      </c>
      <c r="J48" s="23">
        <v>2016</v>
      </c>
      <c r="K48" s="55">
        <v>2016</v>
      </c>
      <c r="L48" t="s">
        <v>1537</v>
      </c>
      <c r="M48"/>
      <c r="N48" t="s">
        <v>1289</v>
      </c>
      <c r="O48"/>
      <c r="P48"/>
      <c r="Q48"/>
      <c r="R48"/>
      <c r="S48"/>
    </row>
    <row r="49" spans="1:32" s="810" customFormat="1" ht="15">
      <c r="A49" s="272" t="s">
        <v>251</v>
      </c>
      <c r="B49" s="272" t="s">
        <v>252</v>
      </c>
      <c r="C49" s="808" t="s">
        <v>437</v>
      </c>
      <c r="D49" s="808" t="s">
        <v>439</v>
      </c>
      <c r="E49" s="809" t="s">
        <v>440</v>
      </c>
      <c r="F49" s="808" t="s">
        <v>441</v>
      </c>
      <c r="G49" s="808" t="s">
        <v>442</v>
      </c>
      <c r="H49" s="808" t="s">
        <v>443</v>
      </c>
      <c r="I49" s="808" t="s">
        <v>444</v>
      </c>
      <c r="J49" s="808" t="s">
        <v>445</v>
      </c>
      <c r="K49" s="808" t="s">
        <v>453</v>
      </c>
      <c r="L49" s="808" t="s">
        <v>438</v>
      </c>
      <c r="M49" s="272"/>
      <c r="N49" s="272" t="s">
        <v>1296</v>
      </c>
      <c r="O49" s="272" t="s">
        <v>1290</v>
      </c>
      <c r="P49" s="272" t="s">
        <v>1291</v>
      </c>
      <c r="Q49" s="272" t="s">
        <v>1292</v>
      </c>
      <c r="R49" s="272" t="s">
        <v>1293</v>
      </c>
      <c r="S49" s="272" t="s">
        <v>1294</v>
      </c>
      <c r="T49" s="810" t="s">
        <v>1295</v>
      </c>
      <c r="U49" s="810" t="s">
        <v>1317</v>
      </c>
      <c r="V49" s="810" t="s">
        <v>1536</v>
      </c>
      <c r="AA49" s="800"/>
      <c r="AB49" s="800"/>
      <c r="AC49" s="800"/>
      <c r="AD49" s="800"/>
      <c r="AE49" s="800"/>
      <c r="AF49" s="800"/>
    </row>
    <row r="50" spans="1:32" ht="15">
      <c r="A50" t="s">
        <v>88</v>
      </c>
      <c r="B50" t="s">
        <v>89</v>
      </c>
      <c r="C50" s="16">
        <v>100</v>
      </c>
      <c r="D50" s="16">
        <f>(P50/$O50)*100</f>
        <v>101.84033606136774</v>
      </c>
      <c r="E50" s="16">
        <f t="shared" ref="E50:J65" si="7">(Q50/$O50)*100</f>
        <v>101.7272719366145</v>
      </c>
      <c r="F50" s="16">
        <f t="shared" si="7"/>
        <v>101.48374920637681</v>
      </c>
      <c r="G50" s="16">
        <f t="shared" si="7"/>
        <v>101.43852355647553</v>
      </c>
      <c r="H50" s="16">
        <f t="shared" si="7"/>
        <v>100.44703815479347</v>
      </c>
      <c r="I50" s="16">
        <f t="shared" si="7"/>
        <v>99.947816557806206</v>
      </c>
      <c r="J50" s="16">
        <f t="shared" si="7"/>
        <v>101.77336731055236</v>
      </c>
      <c r="K50" s="620">
        <v>117018</v>
      </c>
      <c r="L50" s="158">
        <f t="shared" ref="L50:L81" si="8">+RATE((2016-2009),,-O50,V50)</f>
        <v>2.5143365307430006E-3</v>
      </c>
      <c r="M50"/>
      <c r="N50" s="23" t="s">
        <v>89</v>
      </c>
      <c r="O50" s="620">
        <v>114979</v>
      </c>
      <c r="P50" s="620">
        <v>117095</v>
      </c>
      <c r="Q50" s="620">
        <v>116965</v>
      </c>
      <c r="R50" s="620">
        <v>116685</v>
      </c>
      <c r="S50" s="620">
        <v>116633</v>
      </c>
      <c r="T50" s="620">
        <v>115493</v>
      </c>
      <c r="U50" s="620">
        <v>114919</v>
      </c>
      <c r="V50" s="620">
        <v>117018</v>
      </c>
    </row>
    <row r="51" spans="1:32" ht="15">
      <c r="A51" t="s">
        <v>5</v>
      </c>
      <c r="B51" t="s">
        <v>6</v>
      </c>
      <c r="C51" s="16">
        <v>100</v>
      </c>
      <c r="D51" s="16">
        <f t="shared" ref="D51:D98" si="9">(P51/$O51)*100</f>
        <v>101.48441178693299</v>
      </c>
      <c r="E51" s="16">
        <f t="shared" si="7"/>
        <v>103.08101917789108</v>
      </c>
      <c r="F51" s="16">
        <f t="shared" si="7"/>
        <v>104.16344516076525</v>
      </c>
      <c r="G51" s="16">
        <f t="shared" si="7"/>
        <v>104.84650129925997</v>
      </c>
      <c r="H51" s="16">
        <f t="shared" si="7"/>
        <v>105.45543858017335</v>
      </c>
      <c r="I51" s="16">
        <f t="shared" si="7"/>
        <v>107.1604629667308</v>
      </c>
      <c r="J51" s="16">
        <f t="shared" si="7"/>
        <v>110.26996703890804</v>
      </c>
      <c r="K51" s="620">
        <v>379375</v>
      </c>
      <c r="L51" s="158">
        <f t="shared" si="8"/>
        <v>1.4063895990881026E-2</v>
      </c>
      <c r="N51" s="23" t="s">
        <v>6</v>
      </c>
      <c r="O51" s="620">
        <v>344042</v>
      </c>
      <c r="P51" s="620">
        <v>349149</v>
      </c>
      <c r="Q51" s="620">
        <v>354642</v>
      </c>
      <c r="R51" s="620">
        <v>358366</v>
      </c>
      <c r="S51" s="620">
        <v>360716</v>
      </c>
      <c r="T51" s="620">
        <v>362811</v>
      </c>
      <c r="U51" s="620">
        <v>368677</v>
      </c>
      <c r="V51" s="620">
        <v>379375</v>
      </c>
    </row>
    <row r="52" spans="1:32" ht="15">
      <c r="A52" s="22" t="s">
        <v>87</v>
      </c>
      <c r="B52" s="23" t="s">
        <v>1076</v>
      </c>
      <c r="C52" s="23">
        <v>100</v>
      </c>
      <c r="D52" s="16">
        <f t="shared" si="9"/>
        <v>99.785004695299762</v>
      </c>
      <c r="E52" s="16">
        <f t="shared" si="7"/>
        <v>100.70553056887263</v>
      </c>
      <c r="F52" s="16">
        <f t="shared" si="7"/>
        <v>97.998319576928779</v>
      </c>
      <c r="G52" s="16">
        <f t="shared" si="7"/>
        <v>97.426234369594226</v>
      </c>
      <c r="H52" s="16">
        <f t="shared" si="7"/>
        <v>98.110759650076602</v>
      </c>
      <c r="I52" s="16">
        <f t="shared" si="7"/>
        <v>99.46992536944596</v>
      </c>
      <c r="J52" s="16">
        <f t="shared" si="7"/>
        <v>102.14253941580587</v>
      </c>
      <c r="K52" s="620">
        <v>82666</v>
      </c>
      <c r="L52" s="158">
        <f t="shared" si="8"/>
        <v>3.0330327976579976E-3</v>
      </c>
      <c r="N52" s="23" t="s">
        <v>1297</v>
      </c>
      <c r="O52" s="620">
        <v>80932</v>
      </c>
      <c r="P52" s="620">
        <v>80758</v>
      </c>
      <c r="Q52" s="620">
        <v>81503</v>
      </c>
      <c r="R52" s="620">
        <v>79312</v>
      </c>
      <c r="S52" s="620">
        <v>78849</v>
      </c>
      <c r="T52" s="620">
        <v>79403</v>
      </c>
      <c r="U52" s="620">
        <v>80503</v>
      </c>
      <c r="V52" s="620">
        <v>82666</v>
      </c>
    </row>
    <row r="53" spans="1:32" ht="15">
      <c r="A53" s="22" t="s">
        <v>7</v>
      </c>
      <c r="B53" s="23" t="s">
        <v>8</v>
      </c>
      <c r="C53" s="23">
        <v>100</v>
      </c>
      <c r="D53" s="16">
        <f t="shared" si="9"/>
        <v>101.37771038272614</v>
      </c>
      <c r="E53" s="16">
        <f t="shared" si="7"/>
        <v>101.76393587101624</v>
      </c>
      <c r="F53" s="16">
        <f t="shared" si="7"/>
        <v>101.17595724734416</v>
      </c>
      <c r="G53" s="16">
        <f t="shared" si="7"/>
        <v>101.26668135533177</v>
      </c>
      <c r="H53" s="16">
        <f t="shared" si="7"/>
        <v>100.68345494683999</v>
      </c>
      <c r="I53" s="16">
        <f t="shared" si="7"/>
        <v>100.75128201804976</v>
      </c>
      <c r="J53" s="16">
        <f t="shared" si="7"/>
        <v>101.77387232093868</v>
      </c>
      <c r="K53" s="620">
        <v>235577</v>
      </c>
      <c r="L53" s="158">
        <f t="shared" si="8"/>
        <v>2.5150471840716267E-3</v>
      </c>
      <c r="N53" s="23" t="s">
        <v>8</v>
      </c>
      <c r="O53" s="620">
        <v>231471</v>
      </c>
      <c r="P53" s="620">
        <v>234660</v>
      </c>
      <c r="Q53" s="620">
        <v>235554</v>
      </c>
      <c r="R53" s="620">
        <v>234193</v>
      </c>
      <c r="S53" s="620">
        <v>234403</v>
      </c>
      <c r="T53" s="620">
        <v>233053</v>
      </c>
      <c r="U53" s="620">
        <v>233210</v>
      </c>
      <c r="V53" s="620">
        <v>235577</v>
      </c>
    </row>
    <row r="54" spans="1:32" ht="15">
      <c r="A54" s="22" t="s">
        <v>9</v>
      </c>
      <c r="B54" s="23" t="s">
        <v>10</v>
      </c>
      <c r="C54" s="23">
        <v>100</v>
      </c>
      <c r="D54" s="16">
        <f t="shared" si="9"/>
        <v>101.35590197267506</v>
      </c>
      <c r="E54" s="16">
        <f t="shared" si="7"/>
        <v>102.57767631006314</v>
      </c>
      <c r="F54" s="16">
        <f t="shared" si="7"/>
        <v>102.79741732957586</v>
      </c>
      <c r="G54" s="16">
        <f t="shared" si="7"/>
        <v>102.10822958655869</v>
      </c>
      <c r="H54" s="16">
        <f t="shared" si="7"/>
        <v>102.99004744408376</v>
      </c>
      <c r="I54" s="16">
        <f t="shared" si="7"/>
        <v>104.74583526557986</v>
      </c>
      <c r="J54" s="16">
        <f t="shared" si="7"/>
        <v>106.17094139050405</v>
      </c>
      <c r="K54" s="620">
        <v>297629</v>
      </c>
      <c r="L54" s="158">
        <f t="shared" si="8"/>
        <v>8.5910161800295363E-3</v>
      </c>
      <c r="N54" s="23" t="s">
        <v>10</v>
      </c>
      <c r="O54" s="620">
        <v>280330</v>
      </c>
      <c r="P54" s="620">
        <v>284131</v>
      </c>
      <c r="Q54" s="620">
        <v>287556</v>
      </c>
      <c r="R54" s="620">
        <v>288172</v>
      </c>
      <c r="S54" s="620">
        <v>286240</v>
      </c>
      <c r="T54" s="620">
        <v>288712</v>
      </c>
      <c r="U54" s="620">
        <v>293634</v>
      </c>
      <c r="V54" s="620">
        <v>297629</v>
      </c>
    </row>
    <row r="55" spans="1:32" ht="15">
      <c r="A55" s="22" t="s">
        <v>11</v>
      </c>
      <c r="B55" s="23" t="s">
        <v>12</v>
      </c>
      <c r="C55" s="23">
        <v>100</v>
      </c>
      <c r="D55" s="16">
        <f t="shared" si="9"/>
        <v>101.74043393262238</v>
      </c>
      <c r="E55" s="16">
        <f t="shared" si="7"/>
        <v>103.42343466533563</v>
      </c>
      <c r="F55" s="16">
        <f t="shared" si="7"/>
        <v>103.80067000067193</v>
      </c>
      <c r="G55" s="16">
        <f t="shared" si="7"/>
        <v>104.28189302386596</v>
      </c>
      <c r="H55" s="16">
        <f t="shared" si="7"/>
        <v>105.19634475278127</v>
      </c>
      <c r="I55" s="16">
        <f t="shared" si="7"/>
        <v>106.89294387544514</v>
      </c>
      <c r="J55" s="16">
        <f t="shared" si="7"/>
        <v>108.73592566640109</v>
      </c>
      <c r="K55" s="620">
        <v>679680</v>
      </c>
      <c r="L55" s="158">
        <f t="shared" si="8"/>
        <v>1.2036441386621164E-2</v>
      </c>
      <c r="N55" s="23" t="s">
        <v>12</v>
      </c>
      <c r="O55" s="620">
        <v>625074</v>
      </c>
      <c r="P55" s="620">
        <v>635953</v>
      </c>
      <c r="Q55" s="620">
        <v>646473</v>
      </c>
      <c r="R55" s="620">
        <v>648831</v>
      </c>
      <c r="S55" s="620">
        <v>651839</v>
      </c>
      <c r="T55" s="620">
        <v>657555</v>
      </c>
      <c r="U55" s="620">
        <v>668160</v>
      </c>
      <c r="V55" s="620">
        <v>679680</v>
      </c>
    </row>
    <row r="56" spans="1:32" ht="15">
      <c r="A56" s="22" t="s">
        <v>13</v>
      </c>
      <c r="B56" s="23" t="s">
        <v>54</v>
      </c>
      <c r="C56" s="23">
        <v>100</v>
      </c>
      <c r="D56" s="16">
        <f t="shared" si="9"/>
        <v>100.26749487369662</v>
      </c>
      <c r="E56" s="16">
        <f t="shared" si="7"/>
        <v>101.04107586929017</v>
      </c>
      <c r="F56" s="16">
        <f t="shared" si="7"/>
        <v>101.43509227346101</v>
      </c>
      <c r="G56" s="16">
        <f t="shared" si="7"/>
        <v>101.50871471576284</v>
      </c>
      <c r="H56" s="16">
        <f t="shared" si="7"/>
        <v>102.20403778194668</v>
      </c>
      <c r="I56" s="16">
        <f t="shared" si="7"/>
        <v>103.35718336896295</v>
      </c>
      <c r="J56" s="16">
        <f t="shared" si="7"/>
        <v>104.34645085292962</v>
      </c>
      <c r="K56" s="620">
        <v>382676</v>
      </c>
      <c r="L56" s="158">
        <f t="shared" si="8"/>
        <v>6.0965710438187527E-3</v>
      </c>
      <c r="N56" s="23" t="s">
        <v>54</v>
      </c>
      <c r="O56" s="620">
        <v>366736</v>
      </c>
      <c r="P56" s="620">
        <v>367717</v>
      </c>
      <c r="Q56" s="620">
        <v>370554</v>
      </c>
      <c r="R56" s="620">
        <v>371999</v>
      </c>
      <c r="S56" s="620">
        <v>372269</v>
      </c>
      <c r="T56" s="620">
        <v>374819</v>
      </c>
      <c r="U56" s="620">
        <v>379048</v>
      </c>
      <c r="V56" s="620">
        <v>382676</v>
      </c>
    </row>
    <row r="57" spans="1:32" ht="15">
      <c r="A57" s="22" t="s">
        <v>14</v>
      </c>
      <c r="B57" s="23" t="s">
        <v>15</v>
      </c>
      <c r="C57" s="23">
        <v>100</v>
      </c>
      <c r="D57" s="16">
        <f t="shared" si="9"/>
        <v>101.50301556652126</v>
      </c>
      <c r="E57" s="16">
        <f t="shared" si="7"/>
        <v>102.55250423132851</v>
      </c>
      <c r="F57" s="16">
        <f t="shared" si="7"/>
        <v>102.49171613149299</v>
      </c>
      <c r="G57" s="16">
        <f t="shared" si="7"/>
        <v>102.52270614317385</v>
      </c>
      <c r="H57" s="16">
        <f t="shared" si="7"/>
        <v>104.17113637988986</v>
      </c>
      <c r="I57" s="16">
        <f t="shared" si="7"/>
        <v>106.88931798135832</v>
      </c>
      <c r="J57" s="16">
        <f t="shared" si="7"/>
        <v>109.10629574006532</v>
      </c>
      <c r="K57" s="620">
        <v>183076</v>
      </c>
      <c r="L57" s="158">
        <f t="shared" si="8"/>
        <v>1.2528172674755023E-2</v>
      </c>
      <c r="N57" s="23" t="s">
        <v>15</v>
      </c>
      <c r="O57" s="620">
        <v>167796</v>
      </c>
      <c r="P57" s="620">
        <v>170318</v>
      </c>
      <c r="Q57" s="620">
        <v>172079</v>
      </c>
      <c r="R57" s="620">
        <v>171977</v>
      </c>
      <c r="S57" s="620">
        <v>172029</v>
      </c>
      <c r="T57" s="620">
        <v>174795</v>
      </c>
      <c r="U57" s="620">
        <v>179356</v>
      </c>
      <c r="V57" s="620">
        <v>183076</v>
      </c>
    </row>
    <row r="58" spans="1:32" ht="15">
      <c r="A58" s="22" t="s">
        <v>16</v>
      </c>
      <c r="B58" s="23" t="s">
        <v>17</v>
      </c>
      <c r="C58" s="23">
        <v>100</v>
      </c>
      <c r="D58" s="16">
        <f t="shared" si="9"/>
        <v>102.13690356480463</v>
      </c>
      <c r="E58" s="16">
        <f t="shared" si="7"/>
        <v>104.26646491538895</v>
      </c>
      <c r="F58" s="16">
        <f t="shared" si="7"/>
        <v>105.13061160644455</v>
      </c>
      <c r="G58" s="16">
        <f t="shared" si="7"/>
        <v>105.52262200046607</v>
      </c>
      <c r="H58" s="16">
        <f t="shared" si="7"/>
        <v>106.40719920065634</v>
      </c>
      <c r="I58" s="16">
        <f t="shared" si="7"/>
        <v>108.33820154058809</v>
      </c>
      <c r="J58" s="16">
        <f t="shared" si="7"/>
        <v>111.32807886176525</v>
      </c>
      <c r="K58" s="620">
        <v>348743</v>
      </c>
      <c r="L58" s="158">
        <f t="shared" si="8"/>
        <v>1.5448298887020061E-2</v>
      </c>
      <c r="N58" s="23" t="s">
        <v>17</v>
      </c>
      <c r="O58" s="620">
        <v>313257</v>
      </c>
      <c r="P58" s="620">
        <v>319951</v>
      </c>
      <c r="Q58" s="620">
        <v>326622</v>
      </c>
      <c r="R58" s="620">
        <v>329329</v>
      </c>
      <c r="S58" s="620">
        <v>330557</v>
      </c>
      <c r="T58" s="620">
        <v>333328</v>
      </c>
      <c r="U58" s="620">
        <v>339377</v>
      </c>
      <c r="V58" s="620">
        <v>348743</v>
      </c>
    </row>
    <row r="59" spans="1:32" ht="15">
      <c r="A59" s="22" t="s">
        <v>18</v>
      </c>
      <c r="B59" s="23" t="s">
        <v>19</v>
      </c>
      <c r="C59" s="23">
        <v>100</v>
      </c>
      <c r="D59" s="16">
        <f t="shared" si="9"/>
        <v>100.08638395553943</v>
      </c>
      <c r="E59" s="16">
        <f t="shared" si="7"/>
        <v>99.264226168901786</v>
      </c>
      <c r="F59" s="16">
        <f t="shared" si="7"/>
        <v>98.787604204421896</v>
      </c>
      <c r="G59" s="16">
        <f t="shared" si="7"/>
        <v>98.144859248520007</v>
      </c>
      <c r="H59" s="16">
        <f t="shared" si="7"/>
        <v>96.602029720913379</v>
      </c>
      <c r="I59" s="16">
        <f t="shared" si="7"/>
        <v>98.429382626555523</v>
      </c>
      <c r="J59" s="16">
        <f t="shared" si="7"/>
        <v>99.690709194152475</v>
      </c>
      <c r="K59" s="620">
        <v>165028</v>
      </c>
      <c r="L59" s="158">
        <f t="shared" si="8"/>
        <v>-4.4243081059350297E-4</v>
      </c>
      <c r="N59" s="23" t="s">
        <v>19</v>
      </c>
      <c r="O59" s="620">
        <v>165540</v>
      </c>
      <c r="P59" s="620">
        <v>165683</v>
      </c>
      <c r="Q59" s="620">
        <v>164322</v>
      </c>
      <c r="R59" s="620">
        <v>163533</v>
      </c>
      <c r="S59" s="620">
        <v>162469</v>
      </c>
      <c r="T59" s="620">
        <v>159915</v>
      </c>
      <c r="U59" s="620">
        <v>162940</v>
      </c>
      <c r="V59" s="620">
        <v>165028</v>
      </c>
    </row>
    <row r="60" spans="1:32" ht="15">
      <c r="A60" s="22" t="s">
        <v>20</v>
      </c>
      <c r="B60" s="23" t="s">
        <v>21</v>
      </c>
      <c r="C60" s="23">
        <v>100</v>
      </c>
      <c r="D60" s="16">
        <f t="shared" si="9"/>
        <v>100.70503629867322</v>
      </c>
      <c r="E60" s="16">
        <f t="shared" si="7"/>
        <v>102.24846953869961</v>
      </c>
      <c r="F60" s="16">
        <f t="shared" si="7"/>
        <v>102.03682210236454</v>
      </c>
      <c r="G60" s="16">
        <f t="shared" si="7"/>
        <v>102.73138981816527</v>
      </c>
      <c r="H60" s="16">
        <f t="shared" si="7"/>
        <v>103.33174028811361</v>
      </c>
      <c r="I60" s="16">
        <f t="shared" si="7"/>
        <v>105.00898932659703</v>
      </c>
      <c r="J60" s="16">
        <f t="shared" si="7"/>
        <v>107.06174188115882</v>
      </c>
      <c r="K60" s="620">
        <v>235220</v>
      </c>
      <c r="L60" s="158">
        <f t="shared" si="8"/>
        <v>9.7955956783252144E-3</v>
      </c>
      <c r="N60" s="23" t="s">
        <v>21</v>
      </c>
      <c r="O60" s="620">
        <v>219705</v>
      </c>
      <c r="P60" s="620">
        <v>221254</v>
      </c>
      <c r="Q60" s="620">
        <v>224645</v>
      </c>
      <c r="R60" s="620">
        <v>224180</v>
      </c>
      <c r="S60" s="620">
        <v>225706</v>
      </c>
      <c r="T60" s="620">
        <v>227025</v>
      </c>
      <c r="U60" s="620">
        <v>230710</v>
      </c>
      <c r="V60" s="620">
        <v>235220</v>
      </c>
    </row>
    <row r="61" spans="1:32" ht="15">
      <c r="A61" s="22" t="s">
        <v>22</v>
      </c>
      <c r="B61" s="23" t="s">
        <v>23</v>
      </c>
      <c r="C61" s="23">
        <v>100</v>
      </c>
      <c r="D61" s="16">
        <f t="shared" si="9"/>
        <v>99.454834251664664</v>
      </c>
      <c r="E61" s="16">
        <f t="shared" si="7"/>
        <v>99.707450149864499</v>
      </c>
      <c r="F61" s="16">
        <f t="shared" si="7"/>
        <v>98.503598542635103</v>
      </c>
      <c r="G61" s="16">
        <f t="shared" si="7"/>
        <v>97.470700145377535</v>
      </c>
      <c r="H61" s="16">
        <f t="shared" si="7"/>
        <v>97.070014537753295</v>
      </c>
      <c r="I61" s="16">
        <f t="shared" si="7"/>
        <v>97.599475922967855</v>
      </c>
      <c r="J61" s="16">
        <f t="shared" si="7"/>
        <v>97.800491770913723</v>
      </c>
      <c r="K61" s="620">
        <v>217966</v>
      </c>
      <c r="L61" s="158">
        <f t="shared" si="8"/>
        <v>-3.1721837633395351E-3</v>
      </c>
      <c r="N61" s="23" t="s">
        <v>23</v>
      </c>
      <c r="O61" s="620">
        <v>222868</v>
      </c>
      <c r="P61" s="620">
        <v>221653</v>
      </c>
      <c r="Q61" s="620">
        <v>222216</v>
      </c>
      <c r="R61" s="620">
        <v>219533</v>
      </c>
      <c r="S61" s="620">
        <v>217231</v>
      </c>
      <c r="T61" s="620">
        <v>216338</v>
      </c>
      <c r="U61" s="620">
        <v>217518</v>
      </c>
      <c r="V61" s="620">
        <v>217966</v>
      </c>
    </row>
    <row r="62" spans="1:32" ht="15">
      <c r="A62" s="22" t="s">
        <v>24</v>
      </c>
      <c r="B62" s="23" t="s">
        <v>25</v>
      </c>
      <c r="C62" s="23">
        <v>100</v>
      </c>
      <c r="D62" s="16">
        <f t="shared" si="9"/>
        <v>100.66467166404946</v>
      </c>
      <c r="E62" s="16">
        <f t="shared" si="7"/>
        <v>101.58612584318489</v>
      </c>
      <c r="F62" s="16">
        <f t="shared" si="7"/>
        <v>101.05922787472963</v>
      </c>
      <c r="G62" s="16">
        <f t="shared" si="7"/>
        <v>100.79898867194059</v>
      </c>
      <c r="H62" s="16">
        <f t="shared" si="7"/>
        <v>100.41085202413755</v>
      </c>
      <c r="I62" s="16">
        <f t="shared" si="7"/>
        <v>101.21872932160034</v>
      </c>
      <c r="J62" s="16">
        <f t="shared" si="7"/>
        <v>103.17867124924693</v>
      </c>
      <c r="K62" s="620">
        <v>208943</v>
      </c>
      <c r="L62" s="158">
        <f t="shared" si="8"/>
        <v>4.4802882940956999E-3</v>
      </c>
      <c r="N62" s="23" t="s">
        <v>25</v>
      </c>
      <c r="O62" s="620">
        <v>202506</v>
      </c>
      <c r="P62" s="620">
        <v>203852</v>
      </c>
      <c r="Q62" s="620">
        <v>205718</v>
      </c>
      <c r="R62" s="620">
        <v>204651</v>
      </c>
      <c r="S62" s="620">
        <v>204124</v>
      </c>
      <c r="T62" s="620">
        <v>203338</v>
      </c>
      <c r="U62" s="620">
        <v>204974</v>
      </c>
      <c r="V62" s="620">
        <v>208943</v>
      </c>
    </row>
    <row r="63" spans="1:32" ht="15">
      <c r="A63" s="22" t="s">
        <v>51</v>
      </c>
      <c r="B63" s="23" t="s">
        <v>55</v>
      </c>
      <c r="C63" s="23">
        <v>100</v>
      </c>
      <c r="D63" s="16">
        <f t="shared" si="9"/>
        <v>101.60860730390291</v>
      </c>
      <c r="E63" s="16">
        <f t="shared" si="7"/>
        <v>102.04577285201945</v>
      </c>
      <c r="F63" s="16">
        <f t="shared" si="7"/>
        <v>101.27101835285737</v>
      </c>
      <c r="G63" s="16">
        <f t="shared" si="7"/>
        <v>100.74965795843688</v>
      </c>
      <c r="H63" s="16">
        <f t="shared" si="7"/>
        <v>100.1157679136679</v>
      </c>
      <c r="I63" s="16">
        <f t="shared" si="7"/>
        <v>101.26778008953798</v>
      </c>
      <c r="J63" s="16">
        <f t="shared" si="7"/>
        <v>103.05934927098596</v>
      </c>
      <c r="K63" s="620">
        <v>127302</v>
      </c>
      <c r="L63" s="158">
        <f t="shared" si="8"/>
        <v>4.314257272158983E-3</v>
      </c>
      <c r="N63" s="23" t="s">
        <v>55</v>
      </c>
      <c r="O63" s="620">
        <v>123523</v>
      </c>
      <c r="P63" s="620">
        <v>125510</v>
      </c>
      <c r="Q63" s="620">
        <v>126050</v>
      </c>
      <c r="R63" s="620">
        <v>125093</v>
      </c>
      <c r="S63" s="620">
        <v>124449</v>
      </c>
      <c r="T63" s="620">
        <v>123666</v>
      </c>
      <c r="U63" s="620">
        <v>125089</v>
      </c>
      <c r="V63" s="620">
        <v>127302</v>
      </c>
    </row>
    <row r="64" spans="1:32" ht="15">
      <c r="A64" s="22" t="s">
        <v>26</v>
      </c>
      <c r="B64" s="22" t="s">
        <v>27</v>
      </c>
      <c r="C64" s="23">
        <v>100</v>
      </c>
      <c r="D64" s="16">
        <f t="shared" si="9"/>
        <v>102.35000614477082</v>
      </c>
      <c r="E64" s="16">
        <f t="shared" si="7"/>
        <v>104.53484085043627</v>
      </c>
      <c r="F64" s="16">
        <f t="shared" si="7"/>
        <v>106.0140100774241</v>
      </c>
      <c r="G64" s="16">
        <f t="shared" si="7"/>
        <v>106.79095489738233</v>
      </c>
      <c r="H64" s="16">
        <f t="shared" si="7"/>
        <v>107.53742165417231</v>
      </c>
      <c r="I64" s="16">
        <f t="shared" si="7"/>
        <v>109.36094383679489</v>
      </c>
      <c r="J64" s="16">
        <f t="shared" si="7"/>
        <v>112.82757773135062</v>
      </c>
      <c r="K64" s="620">
        <v>459039</v>
      </c>
      <c r="L64" s="158">
        <f t="shared" si="8"/>
        <v>1.7391008081648385E-2</v>
      </c>
      <c r="N64" s="23" t="s">
        <v>27</v>
      </c>
      <c r="O64" s="620">
        <v>406850</v>
      </c>
      <c r="P64" s="620">
        <v>416411</v>
      </c>
      <c r="Q64" s="620">
        <v>425300</v>
      </c>
      <c r="R64" s="620">
        <v>431318</v>
      </c>
      <c r="S64" s="620">
        <v>434479</v>
      </c>
      <c r="T64" s="620">
        <v>437516</v>
      </c>
      <c r="U64" s="620">
        <v>444935</v>
      </c>
      <c r="V64" s="620">
        <v>459039</v>
      </c>
    </row>
    <row r="65" spans="1:22" ht="15">
      <c r="A65" s="22" t="s">
        <v>28</v>
      </c>
      <c r="B65" s="22" t="s">
        <v>29</v>
      </c>
      <c r="C65" s="23">
        <v>100</v>
      </c>
      <c r="D65" s="16">
        <f t="shared" si="9"/>
        <v>101.65537319088915</v>
      </c>
      <c r="E65" s="16">
        <f t="shared" si="7"/>
        <v>103.37969746344839</v>
      </c>
      <c r="F65" s="16">
        <f t="shared" si="7"/>
        <v>103.50542374133494</v>
      </c>
      <c r="G65" s="16">
        <f t="shared" si="7"/>
        <v>104.09314962795146</v>
      </c>
      <c r="H65" s="16">
        <f t="shared" si="7"/>
        <v>105.01331822976306</v>
      </c>
      <c r="I65" s="16">
        <f t="shared" si="7"/>
        <v>106.62108234045145</v>
      </c>
      <c r="J65" s="16">
        <f t="shared" si="7"/>
        <v>108.52038366351873</v>
      </c>
      <c r="K65" s="620">
        <v>793233</v>
      </c>
      <c r="L65" s="158">
        <f t="shared" si="8"/>
        <v>1.174961030246767E-2</v>
      </c>
      <c r="N65" s="22" t="s">
        <v>29</v>
      </c>
      <c r="O65" s="620">
        <v>730953</v>
      </c>
      <c r="P65" s="620">
        <v>743053</v>
      </c>
      <c r="Q65" s="620">
        <v>755657</v>
      </c>
      <c r="R65" s="620">
        <v>756576</v>
      </c>
      <c r="S65" s="620">
        <v>760872</v>
      </c>
      <c r="T65" s="620">
        <v>767598</v>
      </c>
      <c r="U65" s="620">
        <v>779350</v>
      </c>
      <c r="V65" s="620">
        <v>793233</v>
      </c>
    </row>
    <row r="66" spans="1:22" ht="15">
      <c r="A66" s="22" t="s">
        <v>30</v>
      </c>
      <c r="B66" s="22" t="s">
        <v>253</v>
      </c>
      <c r="C66" s="23">
        <v>100</v>
      </c>
      <c r="D66" s="16">
        <f t="shared" si="9"/>
        <v>100.55875771071616</v>
      </c>
      <c r="E66" s="16">
        <f t="shared" ref="E66:E98" si="10">(Q66/$O66)*100</f>
        <v>101.68588961479976</v>
      </c>
      <c r="F66" s="16">
        <f t="shared" ref="F66:F98" si="11">(R66/$O66)*100</f>
        <v>101.79828225578642</v>
      </c>
      <c r="G66" s="16">
        <f t="shared" ref="G66:G98" si="12">(S66/$O66)*100</f>
        <v>101.78345684503239</v>
      </c>
      <c r="H66" s="16">
        <f t="shared" ref="H66:H98" si="13">(T66/$O66)*100</f>
        <v>102.67959282209706</v>
      </c>
      <c r="I66" s="16">
        <f t="shared" ref="I66:I98" si="14">(U66/$O66)*100</f>
        <v>103.71096058644518</v>
      </c>
      <c r="J66" s="16">
        <f t="shared" ref="J66:J98" si="15">(V66/$O66)*100</f>
        <v>105.25320399164167</v>
      </c>
      <c r="K66" s="620">
        <v>525364</v>
      </c>
      <c r="L66" s="158">
        <f t="shared" si="8"/>
        <v>7.3409173672982775E-3</v>
      </c>
      <c r="N66" s="22" t="s">
        <v>253</v>
      </c>
      <c r="O66" s="620">
        <v>499143</v>
      </c>
      <c r="P66" s="620">
        <v>501932</v>
      </c>
      <c r="Q66" s="620">
        <v>507558</v>
      </c>
      <c r="R66" s="620">
        <v>508119</v>
      </c>
      <c r="S66" s="620">
        <v>508045</v>
      </c>
      <c r="T66" s="620">
        <v>512518</v>
      </c>
      <c r="U66" s="620">
        <v>517666</v>
      </c>
      <c r="V66" s="620">
        <v>525364</v>
      </c>
    </row>
    <row r="67" spans="1:22" ht="15">
      <c r="A67" s="22" t="s">
        <v>31</v>
      </c>
      <c r="B67" s="22" t="s">
        <v>32</v>
      </c>
      <c r="C67" s="23">
        <v>100</v>
      </c>
      <c r="D67" s="16">
        <f t="shared" si="9"/>
        <v>102.33034204708025</v>
      </c>
      <c r="E67" s="16">
        <f t="shared" si="10"/>
        <v>104.63831447522433</v>
      </c>
      <c r="F67" s="16">
        <f t="shared" si="11"/>
        <v>106.21277149174145</v>
      </c>
      <c r="G67" s="16">
        <f t="shared" si="12"/>
        <v>107.10391468331382</v>
      </c>
      <c r="H67" s="16">
        <f t="shared" si="13"/>
        <v>107.98309272987385</v>
      </c>
      <c r="I67" s="16">
        <f t="shared" si="14"/>
        <v>109.85927949018077</v>
      </c>
      <c r="J67" s="16">
        <f t="shared" si="15"/>
        <v>113.40928599297698</v>
      </c>
      <c r="K67" s="620">
        <v>436002</v>
      </c>
      <c r="L67" s="158">
        <f t="shared" si="8"/>
        <v>1.8138699167241566E-2</v>
      </c>
      <c r="N67" s="22" t="s">
        <v>32</v>
      </c>
      <c r="O67" s="620">
        <v>384450</v>
      </c>
      <c r="P67" s="620">
        <v>393409</v>
      </c>
      <c r="Q67" s="620">
        <v>402282</v>
      </c>
      <c r="R67" s="620">
        <v>408335</v>
      </c>
      <c r="S67" s="620">
        <v>411761</v>
      </c>
      <c r="T67" s="620">
        <v>415141</v>
      </c>
      <c r="U67" s="620">
        <v>422354</v>
      </c>
      <c r="V67" s="620">
        <v>436002</v>
      </c>
    </row>
    <row r="68" spans="1:22" ht="15">
      <c r="A68" s="22" t="s">
        <v>33</v>
      </c>
      <c r="B68" s="22" t="s">
        <v>34</v>
      </c>
      <c r="C68" s="23">
        <v>100</v>
      </c>
      <c r="D68" s="16">
        <f t="shared" si="9"/>
        <v>100.84844404079629</v>
      </c>
      <c r="E68" s="16">
        <f t="shared" si="10"/>
        <v>101.57135698850645</v>
      </c>
      <c r="F68" s="16">
        <f t="shared" si="11"/>
        <v>101.35891975405301</v>
      </c>
      <c r="G68" s="16">
        <f t="shared" si="12"/>
        <v>100.80146774816532</v>
      </c>
      <c r="H68" s="16">
        <f t="shared" si="13"/>
        <v>101.08541333917927</v>
      </c>
      <c r="I68" s="16">
        <f t="shared" si="14"/>
        <v>102.08966208386833</v>
      </c>
      <c r="J68" s="16">
        <f t="shared" si="15"/>
        <v>103.22387857150315</v>
      </c>
      <c r="K68" s="620">
        <v>395525</v>
      </c>
      <c r="L68" s="158">
        <f t="shared" si="8"/>
        <v>4.5431492086816906E-3</v>
      </c>
      <c r="N68" s="22" t="s">
        <v>34</v>
      </c>
      <c r="O68" s="620">
        <v>383172</v>
      </c>
      <c r="P68" s="620">
        <v>386423</v>
      </c>
      <c r="Q68" s="620">
        <v>389193</v>
      </c>
      <c r="R68" s="620">
        <v>388379</v>
      </c>
      <c r="S68" s="620">
        <v>386243</v>
      </c>
      <c r="T68" s="620">
        <v>387331</v>
      </c>
      <c r="U68" s="620">
        <v>391179</v>
      </c>
      <c r="V68" s="620">
        <v>395525</v>
      </c>
    </row>
    <row r="69" spans="1:22" ht="15">
      <c r="A69" s="22" t="s">
        <v>35</v>
      </c>
      <c r="B69" s="22" t="s">
        <v>61</v>
      </c>
      <c r="C69" s="23">
        <v>100</v>
      </c>
      <c r="D69" s="16">
        <f t="shared" si="9"/>
        <v>101.55571624365021</v>
      </c>
      <c r="E69" s="16">
        <f t="shared" si="10"/>
        <v>103.21429976128742</v>
      </c>
      <c r="F69" s="16">
        <f t="shared" si="11"/>
        <v>104.36853108558255</v>
      </c>
      <c r="G69" s="16">
        <f t="shared" si="12"/>
        <v>105.06651579466481</v>
      </c>
      <c r="H69" s="16">
        <f t="shared" si="13"/>
        <v>105.78356120451527</v>
      </c>
      <c r="I69" s="16">
        <f t="shared" si="14"/>
        <v>107.54712985178037</v>
      </c>
      <c r="J69" s="16">
        <f t="shared" si="15"/>
        <v>110.76627042596128</v>
      </c>
      <c r="K69" s="620">
        <v>366108</v>
      </c>
      <c r="L69" s="158">
        <f t="shared" si="8"/>
        <v>1.4714656334347506E-2</v>
      </c>
      <c r="N69" s="22" t="s">
        <v>61</v>
      </c>
      <c r="O69" s="620">
        <v>330523</v>
      </c>
      <c r="P69" s="620">
        <v>335665</v>
      </c>
      <c r="Q69" s="620">
        <v>341147</v>
      </c>
      <c r="R69" s="620">
        <v>344962</v>
      </c>
      <c r="S69" s="620">
        <v>347269</v>
      </c>
      <c r="T69" s="620">
        <v>349639</v>
      </c>
      <c r="U69" s="620">
        <v>355468</v>
      </c>
      <c r="V69" s="620">
        <v>366108</v>
      </c>
    </row>
    <row r="70" spans="1:22" ht="15">
      <c r="A70" s="22" t="s">
        <v>36</v>
      </c>
      <c r="B70" s="22" t="s">
        <v>37</v>
      </c>
      <c r="C70" s="23">
        <v>100</v>
      </c>
      <c r="D70" s="16">
        <f t="shared" si="9"/>
        <v>100.18892984736456</v>
      </c>
      <c r="E70" s="16">
        <f t="shared" si="10"/>
        <v>100.78164397377711</v>
      </c>
      <c r="F70" s="16">
        <f t="shared" si="11"/>
        <v>100.64243250729794</v>
      </c>
      <c r="G70" s="16">
        <f t="shared" si="12"/>
        <v>99.495713565305095</v>
      </c>
      <c r="H70" s="16">
        <f t="shared" si="13"/>
        <v>98.307799393435758</v>
      </c>
      <c r="I70" s="16">
        <f t="shared" si="14"/>
        <v>99.752473489449045</v>
      </c>
      <c r="J70" s="16">
        <f t="shared" si="15"/>
        <v>101.30049079144561</v>
      </c>
      <c r="K70" s="620">
        <v>285248</v>
      </c>
      <c r="L70" s="158">
        <f t="shared" si="8"/>
        <v>1.847571830811634E-3</v>
      </c>
      <c r="N70" s="22" t="s">
        <v>37</v>
      </c>
      <c r="O70" s="620">
        <v>281586</v>
      </c>
      <c r="P70" s="620">
        <v>282118</v>
      </c>
      <c r="Q70" s="620">
        <v>283787</v>
      </c>
      <c r="R70" s="620">
        <v>283395</v>
      </c>
      <c r="S70" s="620">
        <v>280166</v>
      </c>
      <c r="T70" s="620">
        <v>276821</v>
      </c>
      <c r="U70" s="620">
        <v>280889</v>
      </c>
      <c r="V70" s="620">
        <v>285248</v>
      </c>
    </row>
    <row r="71" spans="1:22" ht="15">
      <c r="A71" s="22" t="s">
        <v>38</v>
      </c>
      <c r="B71" s="22" t="s">
        <v>39</v>
      </c>
      <c r="C71" s="23">
        <v>100</v>
      </c>
      <c r="D71" s="16">
        <f t="shared" si="9"/>
        <v>102.2893907243535</v>
      </c>
      <c r="E71" s="16">
        <f t="shared" si="10"/>
        <v>104.61349087356824</v>
      </c>
      <c r="F71" s="16">
        <f t="shared" si="11"/>
        <v>105.56603199708012</v>
      </c>
      <c r="G71" s="16">
        <f t="shared" si="12"/>
        <v>106.09561909805592</v>
      </c>
      <c r="H71" s="16">
        <f t="shared" si="13"/>
        <v>106.98732927078002</v>
      </c>
      <c r="I71" s="16">
        <f t="shared" si="14"/>
        <v>108.87738269466797</v>
      </c>
      <c r="J71" s="16">
        <f t="shared" si="15"/>
        <v>111.75719147078505</v>
      </c>
      <c r="K71" s="620">
        <v>312320</v>
      </c>
      <c r="L71" s="158">
        <f t="shared" si="8"/>
        <v>1.6006524852367136E-2</v>
      </c>
      <c r="N71" s="22" t="s">
        <v>39</v>
      </c>
      <c r="O71" s="620">
        <v>279463</v>
      </c>
      <c r="P71" s="620">
        <v>285861</v>
      </c>
      <c r="Q71" s="620">
        <v>292356</v>
      </c>
      <c r="R71" s="620">
        <v>295018</v>
      </c>
      <c r="S71" s="620">
        <v>296498</v>
      </c>
      <c r="T71" s="620">
        <v>298990</v>
      </c>
      <c r="U71" s="620">
        <v>304272</v>
      </c>
      <c r="V71" s="620">
        <v>312320</v>
      </c>
    </row>
    <row r="72" spans="1:22" ht="15">
      <c r="A72" s="22" t="s">
        <v>40</v>
      </c>
      <c r="B72" s="22" t="s">
        <v>41</v>
      </c>
      <c r="C72" s="23">
        <v>100</v>
      </c>
      <c r="D72" s="16">
        <f t="shared" si="9"/>
        <v>100.71489292798445</v>
      </c>
      <c r="E72" s="16">
        <f t="shared" si="10"/>
        <v>101.57916042585921</v>
      </c>
      <c r="F72" s="16">
        <f t="shared" si="11"/>
        <v>100.82500101202282</v>
      </c>
      <c r="G72" s="16">
        <f t="shared" si="12"/>
        <v>100.88248390883699</v>
      </c>
      <c r="H72" s="16">
        <f t="shared" si="13"/>
        <v>100.68898514350484</v>
      </c>
      <c r="I72" s="16">
        <f t="shared" si="14"/>
        <v>101.33182204590537</v>
      </c>
      <c r="J72" s="16">
        <f t="shared" si="15"/>
        <v>103.05671375946241</v>
      </c>
      <c r="K72" s="620">
        <v>254581</v>
      </c>
      <c r="L72" s="158">
        <f t="shared" si="8"/>
        <v>4.3105882200305057E-3</v>
      </c>
      <c r="N72" s="22" t="s">
        <v>41</v>
      </c>
      <c r="O72" s="620">
        <v>247030</v>
      </c>
      <c r="P72" s="620">
        <v>248796</v>
      </c>
      <c r="Q72" s="620">
        <v>250931</v>
      </c>
      <c r="R72" s="620">
        <v>249068</v>
      </c>
      <c r="S72" s="620">
        <v>249210</v>
      </c>
      <c r="T72" s="620">
        <v>248732</v>
      </c>
      <c r="U72" s="620">
        <v>250320</v>
      </c>
      <c r="V72" s="620">
        <v>254581</v>
      </c>
    </row>
    <row r="73" spans="1:22" ht="15">
      <c r="A73" s="22" t="s">
        <v>42</v>
      </c>
      <c r="B73" s="22" t="s">
        <v>43</v>
      </c>
      <c r="C73" s="23">
        <v>100</v>
      </c>
      <c r="D73" s="16">
        <f t="shared" si="9"/>
        <v>101.34753251285731</v>
      </c>
      <c r="E73" s="16">
        <f t="shared" si="10"/>
        <v>101.95828465897247</v>
      </c>
      <c r="F73" s="16">
        <f t="shared" si="11"/>
        <v>101.47743852488816</v>
      </c>
      <c r="G73" s="16">
        <f t="shared" si="12"/>
        <v>101.51718588677818</v>
      </c>
      <c r="H73" s="16">
        <f t="shared" si="13"/>
        <v>100.9151587713218</v>
      </c>
      <c r="I73" s="16">
        <f t="shared" si="14"/>
        <v>101.01258828034494</v>
      </c>
      <c r="J73" s="16">
        <f t="shared" si="15"/>
        <v>101.99318478160764</v>
      </c>
      <c r="K73" s="620">
        <v>210415</v>
      </c>
      <c r="L73" s="158">
        <f t="shared" si="8"/>
        <v>2.8233795636678632E-3</v>
      </c>
      <c r="N73" s="22" t="s">
        <v>43</v>
      </c>
      <c r="O73" s="620">
        <v>206303</v>
      </c>
      <c r="P73" s="620">
        <v>209083</v>
      </c>
      <c r="Q73" s="620">
        <v>210343</v>
      </c>
      <c r="R73" s="620">
        <v>209351</v>
      </c>
      <c r="S73" s="620">
        <v>209433</v>
      </c>
      <c r="T73" s="620">
        <v>208191</v>
      </c>
      <c r="U73" s="620">
        <v>208392</v>
      </c>
      <c r="V73" s="620">
        <v>210415</v>
      </c>
    </row>
    <row r="74" spans="1:22" ht="15">
      <c r="A74" s="22" t="s">
        <v>44</v>
      </c>
      <c r="B74" s="22" t="s">
        <v>45</v>
      </c>
      <c r="C74" s="23">
        <v>100</v>
      </c>
      <c r="D74" s="16">
        <f t="shared" si="9"/>
        <v>100.55310716081516</v>
      </c>
      <c r="E74" s="16">
        <f t="shared" si="10"/>
        <v>102.25778145858597</v>
      </c>
      <c r="F74" s="16">
        <f t="shared" si="11"/>
        <v>102.13749790489712</v>
      </c>
      <c r="G74" s="16">
        <f t="shared" si="12"/>
        <v>102.68567541187257</v>
      </c>
      <c r="H74" s="16">
        <f t="shared" si="13"/>
        <v>103.2077257534976</v>
      </c>
      <c r="I74" s="16">
        <f t="shared" si="14"/>
        <v>104.96810513965708</v>
      </c>
      <c r="J74" s="16">
        <f t="shared" si="15"/>
        <v>106.90496613327811</v>
      </c>
      <c r="K74" s="620">
        <v>216861</v>
      </c>
      <c r="L74" s="158">
        <f t="shared" si="8"/>
        <v>9.5842211148522132E-3</v>
      </c>
      <c r="N74" s="22" t="s">
        <v>45</v>
      </c>
      <c r="O74" s="620">
        <v>202854</v>
      </c>
      <c r="P74" s="620">
        <v>203976</v>
      </c>
      <c r="Q74" s="620">
        <v>207434</v>
      </c>
      <c r="R74" s="620">
        <v>207190</v>
      </c>
      <c r="S74" s="620">
        <v>208302</v>
      </c>
      <c r="T74" s="620">
        <v>209361</v>
      </c>
      <c r="U74" s="620">
        <v>212932</v>
      </c>
      <c r="V74" s="620">
        <v>216861</v>
      </c>
    </row>
    <row r="75" spans="1:22" ht="15">
      <c r="A75" s="22" t="s">
        <v>46</v>
      </c>
      <c r="B75" s="22" t="s">
        <v>47</v>
      </c>
      <c r="C75" s="23">
        <v>100</v>
      </c>
      <c r="D75" s="16">
        <f t="shared" si="9"/>
        <v>99.321683018951035</v>
      </c>
      <c r="E75" s="16">
        <f t="shared" si="10"/>
        <v>99.573298977018709</v>
      </c>
      <c r="F75" s="16">
        <f t="shared" si="11"/>
        <v>98.258509244271195</v>
      </c>
      <c r="G75" s="16">
        <f t="shared" si="12"/>
        <v>97.049981830795147</v>
      </c>
      <c r="H75" s="16">
        <f t="shared" si="13"/>
        <v>96.381024743153503</v>
      </c>
      <c r="I75" s="16">
        <f t="shared" si="14"/>
        <v>96.657967471617496</v>
      </c>
      <c r="J75" s="16">
        <f t="shared" si="15"/>
        <v>96.86333454461365</v>
      </c>
      <c r="K75" s="620">
        <v>175929</v>
      </c>
      <c r="L75" s="158">
        <f t="shared" si="8"/>
        <v>-4.5423839073506084E-3</v>
      </c>
      <c r="N75" s="22" t="s">
        <v>47</v>
      </c>
      <c r="O75" s="620">
        <v>181626</v>
      </c>
      <c r="P75" s="620">
        <v>180394</v>
      </c>
      <c r="Q75" s="620">
        <v>180851</v>
      </c>
      <c r="R75" s="620">
        <v>178463</v>
      </c>
      <c r="S75" s="620">
        <v>176268</v>
      </c>
      <c r="T75" s="620">
        <v>175053</v>
      </c>
      <c r="U75" s="620">
        <v>175556</v>
      </c>
      <c r="V75" s="620">
        <v>175929</v>
      </c>
    </row>
    <row r="76" spans="1:22" ht="15">
      <c r="A76" s="22" t="s">
        <v>56</v>
      </c>
      <c r="B76" s="22" t="s">
        <v>63</v>
      </c>
      <c r="C76" s="23">
        <v>100</v>
      </c>
      <c r="D76" s="16">
        <f t="shared" si="9"/>
        <v>101.38885482829372</v>
      </c>
      <c r="E76" s="16">
        <f t="shared" si="10"/>
        <v>102.30113380909171</v>
      </c>
      <c r="F76" s="16">
        <f t="shared" si="11"/>
        <v>101.59648821639651</v>
      </c>
      <c r="G76" s="16">
        <f t="shared" si="12"/>
        <v>101.349617022668</v>
      </c>
      <c r="H76" s="16">
        <f t="shared" si="13"/>
        <v>101.27032395713269</v>
      </c>
      <c r="I76" s="16">
        <f t="shared" si="14"/>
        <v>102.46380721158171</v>
      </c>
      <c r="J76" s="16">
        <f t="shared" si="15"/>
        <v>104.30798407599056</v>
      </c>
      <c r="K76" s="620">
        <v>127601</v>
      </c>
      <c r="L76" s="158">
        <f t="shared" si="8"/>
        <v>6.0435780604143948E-3</v>
      </c>
      <c r="N76" s="22" t="s">
        <v>63</v>
      </c>
      <c r="O76" s="620">
        <v>122331</v>
      </c>
      <c r="P76" s="620">
        <v>124030</v>
      </c>
      <c r="Q76" s="620">
        <v>125146</v>
      </c>
      <c r="R76" s="620">
        <v>124284</v>
      </c>
      <c r="S76" s="620">
        <v>123982</v>
      </c>
      <c r="T76" s="620">
        <v>123885</v>
      </c>
      <c r="U76" s="620">
        <v>125345</v>
      </c>
      <c r="V76" s="620">
        <v>127601</v>
      </c>
    </row>
    <row r="77" spans="1:22" ht="15">
      <c r="A77" s="22" t="s">
        <v>57</v>
      </c>
      <c r="B77" s="22" t="s">
        <v>64</v>
      </c>
      <c r="C77" s="23">
        <v>100</v>
      </c>
      <c r="D77" s="16">
        <f t="shared" si="9"/>
        <v>99.745211449918898</v>
      </c>
      <c r="E77" s="16">
        <f t="shared" si="10"/>
        <v>100.47598761285248</v>
      </c>
      <c r="F77" s="16">
        <f t="shared" si="11"/>
        <v>98.307417541904925</v>
      </c>
      <c r="G77" s="16">
        <f t="shared" si="12"/>
        <v>97.800298209106856</v>
      </c>
      <c r="H77" s="16">
        <f t="shared" si="13"/>
        <v>98.30823679769297</v>
      </c>
      <c r="I77" s="16">
        <f t="shared" si="14"/>
        <v>100.25888482902133</v>
      </c>
      <c r="J77" s="16">
        <f t="shared" si="15"/>
        <v>103.02960790417985</v>
      </c>
      <c r="K77" s="620">
        <v>125760</v>
      </c>
      <c r="L77" s="158">
        <f t="shared" si="8"/>
        <v>4.2728478819891213E-3</v>
      </c>
      <c r="N77" s="22" t="s">
        <v>64</v>
      </c>
      <c r="O77" s="620">
        <v>122062</v>
      </c>
      <c r="P77" s="620">
        <v>121751</v>
      </c>
      <c r="Q77" s="620">
        <v>122643</v>
      </c>
      <c r="R77" s="620">
        <v>119996</v>
      </c>
      <c r="S77" s="620">
        <v>119377</v>
      </c>
      <c r="T77" s="620">
        <v>119997</v>
      </c>
      <c r="U77" s="620">
        <v>122378</v>
      </c>
      <c r="V77" s="620">
        <v>125760</v>
      </c>
    </row>
    <row r="78" spans="1:22" ht="15">
      <c r="A78" s="22" t="s">
        <v>48</v>
      </c>
      <c r="B78" s="22" t="s">
        <v>49</v>
      </c>
      <c r="C78" s="23">
        <v>100</v>
      </c>
      <c r="D78" s="16">
        <f t="shared" si="9"/>
        <v>101.91535816543988</v>
      </c>
      <c r="E78" s="16">
        <f t="shared" si="10"/>
        <v>103.31167387922132</v>
      </c>
      <c r="F78" s="16">
        <f t="shared" si="11"/>
        <v>103.25022552852118</v>
      </c>
      <c r="G78" s="16">
        <f t="shared" si="12"/>
        <v>103.02404330147607</v>
      </c>
      <c r="H78" s="16">
        <f t="shared" si="13"/>
        <v>104.62431524311322</v>
      </c>
      <c r="I78" s="16">
        <f t="shared" si="14"/>
        <v>107.22933308928316</v>
      </c>
      <c r="J78" s="16">
        <f t="shared" si="15"/>
        <v>109.30419548419994</v>
      </c>
      <c r="K78" s="620">
        <v>167207</v>
      </c>
      <c r="L78" s="158">
        <f t="shared" si="8"/>
        <v>1.2790333107019878E-2</v>
      </c>
      <c r="N78" s="22" t="s">
        <v>49</v>
      </c>
      <c r="O78" s="620">
        <v>152974</v>
      </c>
      <c r="P78" s="620">
        <v>155904</v>
      </c>
      <c r="Q78" s="620">
        <v>158040</v>
      </c>
      <c r="R78" s="620">
        <v>157946</v>
      </c>
      <c r="S78" s="620">
        <v>157600</v>
      </c>
      <c r="T78" s="620">
        <v>160048</v>
      </c>
      <c r="U78" s="620">
        <v>164033</v>
      </c>
      <c r="V78" s="620">
        <v>167207</v>
      </c>
    </row>
    <row r="79" spans="1:22" ht="15">
      <c r="A79" s="22" t="s">
        <v>58</v>
      </c>
      <c r="B79" s="22" t="s">
        <v>65</v>
      </c>
      <c r="C79" s="23">
        <v>100</v>
      </c>
      <c r="D79" s="16">
        <f t="shared" si="9"/>
        <v>101.86165892329187</v>
      </c>
      <c r="E79" s="16">
        <f t="shared" si="10"/>
        <v>101.6033659313168</v>
      </c>
      <c r="F79" s="16">
        <f t="shared" si="11"/>
        <v>100.68878131193347</v>
      </c>
      <c r="G79" s="16">
        <f t="shared" si="12"/>
        <v>100.60755710062055</v>
      </c>
      <c r="H79" s="16">
        <f t="shared" si="13"/>
        <v>99.670229702069591</v>
      </c>
      <c r="I79" s="16">
        <f t="shared" si="14"/>
        <v>99.458234510542894</v>
      </c>
      <c r="J79" s="16">
        <f t="shared" si="15"/>
        <v>101.23866922252185</v>
      </c>
      <c r="K79" s="620">
        <v>124641</v>
      </c>
      <c r="L79" s="158">
        <f t="shared" si="8"/>
        <v>1.7602051774817224E-3</v>
      </c>
      <c r="N79" s="22" t="s">
        <v>65</v>
      </c>
      <c r="O79" s="620">
        <v>123116</v>
      </c>
      <c r="P79" s="620">
        <v>125408</v>
      </c>
      <c r="Q79" s="620">
        <v>125090</v>
      </c>
      <c r="R79" s="620">
        <v>123964</v>
      </c>
      <c r="S79" s="620">
        <v>123864</v>
      </c>
      <c r="T79" s="620">
        <v>122710</v>
      </c>
      <c r="U79" s="620">
        <v>122449</v>
      </c>
      <c r="V79" s="620">
        <v>124641</v>
      </c>
    </row>
    <row r="80" spans="1:22" ht="15">
      <c r="A80" s="22" t="s">
        <v>254</v>
      </c>
      <c r="B80" s="22" t="s">
        <v>234</v>
      </c>
      <c r="C80" s="23">
        <v>100</v>
      </c>
      <c r="D80" s="16">
        <f t="shared" si="9"/>
        <v>100.18376628487538</v>
      </c>
      <c r="E80" s="16">
        <f t="shared" si="10"/>
        <v>100.61974067394659</v>
      </c>
      <c r="F80" s="16">
        <f t="shared" si="11"/>
        <v>100.56772489126307</v>
      </c>
      <c r="G80" s="16">
        <f t="shared" si="12"/>
        <v>99.451781027243271</v>
      </c>
      <c r="H80" s="16">
        <f t="shared" si="13"/>
        <v>98.181500860655873</v>
      </c>
      <c r="I80" s="16">
        <f t="shared" si="14"/>
        <v>99.5818204839521</v>
      </c>
      <c r="J80" s="16">
        <f t="shared" si="15"/>
        <v>101.15906221019166</v>
      </c>
      <c r="K80" s="620">
        <v>295606</v>
      </c>
      <c r="L80" s="158">
        <f t="shared" si="8"/>
        <v>1.6476366368217373E-3</v>
      </c>
      <c r="N80" s="23" t="s">
        <v>234</v>
      </c>
      <c r="O80" s="620">
        <v>292219</v>
      </c>
      <c r="P80" s="620">
        <v>292756</v>
      </c>
      <c r="Q80" s="620">
        <v>294030</v>
      </c>
      <c r="R80" s="620">
        <v>293878</v>
      </c>
      <c r="S80" s="620">
        <v>290617</v>
      </c>
      <c r="T80" s="620">
        <v>286905</v>
      </c>
      <c r="U80" s="620">
        <v>290997</v>
      </c>
      <c r="V80" s="620">
        <v>295606</v>
      </c>
    </row>
    <row r="81" spans="1:22" ht="15">
      <c r="A81" s="22" t="s">
        <v>255</v>
      </c>
      <c r="B81" s="22" t="s">
        <v>235</v>
      </c>
      <c r="C81" s="23">
        <v>100</v>
      </c>
      <c r="D81" s="16">
        <f t="shared" si="9"/>
        <v>100.64754939284424</v>
      </c>
      <c r="E81" s="16">
        <f t="shared" si="10"/>
        <v>101.8064536885114</v>
      </c>
      <c r="F81" s="16">
        <f t="shared" si="11"/>
        <v>102.08867297951363</v>
      </c>
      <c r="G81" s="16">
        <f t="shared" si="12"/>
        <v>102.12781549042526</v>
      </c>
      <c r="H81" s="16">
        <f t="shared" si="13"/>
        <v>102.9760819597708</v>
      </c>
      <c r="I81" s="16">
        <f t="shared" si="14"/>
        <v>104.11335957132695</v>
      </c>
      <c r="J81" s="16">
        <f t="shared" si="15"/>
        <v>105.65046273954681</v>
      </c>
      <c r="K81" s="620">
        <v>591108</v>
      </c>
      <c r="L81" s="158">
        <f t="shared" si="8"/>
        <v>7.8831868337749106E-3</v>
      </c>
      <c r="N81" s="23" t="s">
        <v>235</v>
      </c>
      <c r="O81" s="620">
        <v>559494</v>
      </c>
      <c r="P81" s="620">
        <v>563117</v>
      </c>
      <c r="Q81" s="620">
        <v>569601</v>
      </c>
      <c r="R81" s="620">
        <v>571180</v>
      </c>
      <c r="S81" s="620">
        <v>571399</v>
      </c>
      <c r="T81" s="620">
        <v>576145</v>
      </c>
      <c r="U81" s="620">
        <v>582508</v>
      </c>
      <c r="V81" s="620">
        <v>591108</v>
      </c>
    </row>
    <row r="82" spans="1:22" ht="15">
      <c r="A82" s="22" t="s">
        <v>256</v>
      </c>
      <c r="B82" s="22" t="s">
        <v>236</v>
      </c>
      <c r="C82" s="22">
        <v>100</v>
      </c>
      <c r="D82" s="16">
        <f t="shared" si="9"/>
        <v>102.29145467204273</v>
      </c>
      <c r="E82" s="16">
        <f t="shared" si="10"/>
        <v>104.54720498636858</v>
      </c>
      <c r="F82" s="16">
        <f t="shared" si="11"/>
        <v>105.99042613150935</v>
      </c>
      <c r="G82" s="16">
        <f t="shared" si="12"/>
        <v>106.7516940442581</v>
      </c>
      <c r="H82" s="16">
        <f t="shared" si="13"/>
        <v>107.54458581669893</v>
      </c>
      <c r="I82" s="16">
        <f t="shared" si="14"/>
        <v>109.34357538337554</v>
      </c>
      <c r="J82" s="16">
        <f t="shared" si="15"/>
        <v>112.76277769701792</v>
      </c>
      <c r="K82" s="620">
        <v>442153</v>
      </c>
      <c r="L82" s="158">
        <f t="shared" ref="L82:L98" si="16">+RATE((2016-2009),,-O82,V82)</f>
        <v>1.7307513796888579E-2</v>
      </c>
      <c r="N82" s="23" t="s">
        <v>236</v>
      </c>
      <c r="O82" s="620">
        <v>392109</v>
      </c>
      <c r="P82" s="620">
        <v>401094</v>
      </c>
      <c r="Q82" s="620">
        <v>409939</v>
      </c>
      <c r="R82" s="620">
        <v>415598</v>
      </c>
      <c r="S82" s="620">
        <v>418583</v>
      </c>
      <c r="T82" s="620">
        <v>421692</v>
      </c>
      <c r="U82" s="620">
        <v>428746</v>
      </c>
      <c r="V82" s="620">
        <v>442153</v>
      </c>
    </row>
    <row r="83" spans="1:22" ht="15">
      <c r="A83" s="22" t="s">
        <v>71</v>
      </c>
      <c r="B83" s="22" t="s">
        <v>114</v>
      </c>
      <c r="C83" s="23">
        <v>100</v>
      </c>
      <c r="D83" s="16">
        <f t="shared" si="9"/>
        <v>101.49010960503276</v>
      </c>
      <c r="E83" s="16">
        <f t="shared" si="10"/>
        <v>103.10474090407938</v>
      </c>
      <c r="F83" s="16">
        <f t="shared" si="11"/>
        <v>104.2329593358843</v>
      </c>
      <c r="G83" s="16">
        <f t="shared" si="12"/>
        <v>104.99643297230689</v>
      </c>
      <c r="H83" s="16">
        <f t="shared" si="13"/>
        <v>105.53498929891691</v>
      </c>
      <c r="I83" s="16">
        <f t="shared" si="14"/>
        <v>106.96828588105585</v>
      </c>
      <c r="J83" s="16">
        <f t="shared" si="15"/>
        <v>110.01258187949932</v>
      </c>
      <c r="K83" s="620">
        <v>424071</v>
      </c>
      <c r="L83" s="158">
        <f t="shared" si="16"/>
        <v>1.3725419590932946E-2</v>
      </c>
      <c r="N83" s="23" t="s">
        <v>72</v>
      </c>
      <c r="O83" s="620">
        <v>385475</v>
      </c>
      <c r="P83" s="620">
        <v>391219</v>
      </c>
      <c r="Q83" s="620">
        <v>397443</v>
      </c>
      <c r="R83" s="620">
        <v>401792</v>
      </c>
      <c r="S83" s="620">
        <v>404735</v>
      </c>
      <c r="T83" s="620">
        <v>406811</v>
      </c>
      <c r="U83" s="620">
        <v>412336</v>
      </c>
      <c r="V83" s="620">
        <v>424071</v>
      </c>
    </row>
    <row r="84" spans="1:22" ht="15">
      <c r="A84" s="22" t="s">
        <v>257</v>
      </c>
      <c r="B84" s="22" t="s">
        <v>237</v>
      </c>
      <c r="C84" s="23">
        <v>100</v>
      </c>
      <c r="D84" s="16">
        <f t="shared" si="9"/>
        <v>101.59419809640571</v>
      </c>
      <c r="E84" s="16">
        <f t="shared" si="10"/>
        <v>102.2324571939794</v>
      </c>
      <c r="F84" s="16">
        <f t="shared" si="11"/>
        <v>101.86341835170933</v>
      </c>
      <c r="G84" s="16">
        <f t="shared" si="12"/>
        <v>101.80791756061598</v>
      </c>
      <c r="H84" s="16">
        <f t="shared" si="13"/>
        <v>102.77131188959486</v>
      </c>
      <c r="I84" s="16">
        <f t="shared" si="14"/>
        <v>105.12968132605471</v>
      </c>
      <c r="J84" s="16">
        <f t="shared" si="15"/>
        <v>107.25279367788004</v>
      </c>
      <c r="K84" s="620">
        <v>258949</v>
      </c>
      <c r="L84" s="158">
        <f t="shared" si="16"/>
        <v>1.0052824927841188E-2</v>
      </c>
      <c r="N84" s="23" t="s">
        <v>237</v>
      </c>
      <c r="O84" s="620">
        <v>241438</v>
      </c>
      <c r="P84" s="620">
        <v>245287</v>
      </c>
      <c r="Q84" s="620">
        <v>246828</v>
      </c>
      <c r="R84" s="620">
        <v>245937</v>
      </c>
      <c r="S84" s="620">
        <v>245803</v>
      </c>
      <c r="T84" s="620">
        <v>248129</v>
      </c>
      <c r="U84" s="620">
        <v>253823</v>
      </c>
      <c r="V84" s="620">
        <v>258949</v>
      </c>
    </row>
    <row r="85" spans="1:22" ht="15">
      <c r="A85" s="22" t="s">
        <v>258</v>
      </c>
      <c r="B85" s="22" t="s">
        <v>238</v>
      </c>
      <c r="C85" s="23">
        <v>100</v>
      </c>
      <c r="D85" s="16">
        <f t="shared" si="9"/>
        <v>101.28303968652526</v>
      </c>
      <c r="E85" s="16">
        <f t="shared" si="10"/>
        <v>102.78534194351514</v>
      </c>
      <c r="F85" s="16">
        <f t="shared" si="11"/>
        <v>102.34752410120029</v>
      </c>
      <c r="G85" s="16">
        <f t="shared" si="12"/>
        <v>102.59366401901218</v>
      </c>
      <c r="H85" s="16">
        <f t="shared" si="13"/>
        <v>103.24084225119003</v>
      </c>
      <c r="I85" s="16">
        <f t="shared" si="14"/>
        <v>104.94189541882687</v>
      </c>
      <c r="J85" s="16">
        <f t="shared" si="15"/>
        <v>107.17589809241564</v>
      </c>
      <c r="K85" s="620">
        <v>303057</v>
      </c>
      <c r="L85" s="158">
        <f t="shared" si="16"/>
        <v>9.9493411380032412E-3</v>
      </c>
      <c r="N85" s="23" t="s">
        <v>238</v>
      </c>
      <c r="O85" s="620">
        <v>282766</v>
      </c>
      <c r="P85" s="620">
        <v>286394</v>
      </c>
      <c r="Q85" s="620">
        <v>290642</v>
      </c>
      <c r="R85" s="620">
        <v>289404</v>
      </c>
      <c r="S85" s="620">
        <v>290100</v>
      </c>
      <c r="T85" s="620">
        <v>291930</v>
      </c>
      <c r="U85" s="620">
        <v>296740</v>
      </c>
      <c r="V85" s="620">
        <v>303057</v>
      </c>
    </row>
    <row r="86" spans="1:22" ht="15">
      <c r="A86" s="22" t="s">
        <v>259</v>
      </c>
      <c r="B86" s="22" t="s">
        <v>239</v>
      </c>
      <c r="C86" s="23">
        <v>100</v>
      </c>
      <c r="D86" s="16">
        <f t="shared" si="9"/>
        <v>101.34707728544805</v>
      </c>
      <c r="E86" s="16">
        <f t="shared" si="10"/>
        <v>101.92652084964821</v>
      </c>
      <c r="F86" s="16">
        <f t="shared" si="11"/>
        <v>101.20896999277593</v>
      </c>
      <c r="G86" s="16">
        <f t="shared" si="12"/>
        <v>101.83090810856751</v>
      </c>
      <c r="H86" s="16">
        <f t="shared" si="13"/>
        <v>101.53010738980252</v>
      </c>
      <c r="I86" s="16">
        <f t="shared" si="14"/>
        <v>101.77596872401003</v>
      </c>
      <c r="J86" s="16">
        <f t="shared" si="15"/>
        <v>103.10453052626467</v>
      </c>
      <c r="K86" s="620">
        <v>339682</v>
      </c>
      <c r="L86" s="158">
        <f t="shared" si="16"/>
        <v>4.3771442755679542E-3</v>
      </c>
      <c r="N86" s="23" t="s">
        <v>239</v>
      </c>
      <c r="O86" s="620">
        <v>329454</v>
      </c>
      <c r="P86" s="620">
        <v>333892</v>
      </c>
      <c r="Q86" s="620">
        <v>335801</v>
      </c>
      <c r="R86" s="620">
        <v>333437</v>
      </c>
      <c r="S86" s="620">
        <v>335486</v>
      </c>
      <c r="T86" s="620">
        <v>334495</v>
      </c>
      <c r="U86" s="620">
        <v>335305</v>
      </c>
      <c r="V86" s="620">
        <v>339682</v>
      </c>
    </row>
    <row r="87" spans="1:22" ht="15">
      <c r="A87" s="22" t="s">
        <v>260</v>
      </c>
      <c r="B87" s="22" t="s">
        <v>240</v>
      </c>
      <c r="C87" s="23">
        <v>100</v>
      </c>
      <c r="D87" s="16">
        <f t="shared" si="9"/>
        <v>101.84476934472994</v>
      </c>
      <c r="E87" s="16">
        <f t="shared" si="10"/>
        <v>104.09904964039738</v>
      </c>
      <c r="F87" s="16">
        <f t="shared" si="11"/>
        <v>104.99424740870715</v>
      </c>
      <c r="G87" s="16">
        <f t="shared" si="12"/>
        <v>105.36514507562424</v>
      </c>
      <c r="H87" s="16">
        <f t="shared" si="13"/>
        <v>105.97323863009524</v>
      </c>
      <c r="I87" s="16">
        <f t="shared" si="14"/>
        <v>107.91283379476646</v>
      </c>
      <c r="J87" s="16">
        <f t="shared" si="15"/>
        <v>110.8894714445571</v>
      </c>
      <c r="K87" s="620">
        <v>422154</v>
      </c>
      <c r="L87" s="158">
        <f t="shared" si="16"/>
        <v>1.4875812056634527E-2</v>
      </c>
      <c r="N87" s="23" t="s">
        <v>240</v>
      </c>
      <c r="O87" s="620">
        <v>380698</v>
      </c>
      <c r="P87" s="620">
        <v>387721</v>
      </c>
      <c r="Q87" s="620">
        <v>396303</v>
      </c>
      <c r="R87" s="620">
        <v>399711</v>
      </c>
      <c r="S87" s="620">
        <v>401123</v>
      </c>
      <c r="T87" s="620">
        <v>403438</v>
      </c>
      <c r="U87" s="620">
        <v>410822</v>
      </c>
      <c r="V87" s="620">
        <v>422154</v>
      </c>
    </row>
    <row r="88" spans="1:22" ht="15">
      <c r="A88" s="22" t="s">
        <v>261</v>
      </c>
      <c r="B88" s="22" t="s">
        <v>241</v>
      </c>
      <c r="C88" s="23">
        <v>100</v>
      </c>
      <c r="D88" s="16">
        <f t="shared" si="9"/>
        <v>100.67256637168143</v>
      </c>
      <c r="E88" s="16">
        <f t="shared" si="10"/>
        <v>101.63861888872769</v>
      </c>
      <c r="F88" s="16">
        <f t="shared" si="11"/>
        <v>100.74931089511099</v>
      </c>
      <c r="G88" s="16">
        <f t="shared" si="12"/>
        <v>100.01958508631945</v>
      </c>
      <c r="H88" s="16">
        <f t="shared" si="13"/>
        <v>99.997678804584353</v>
      </c>
      <c r="I88" s="16">
        <f t="shared" si="14"/>
        <v>100.52009284781663</v>
      </c>
      <c r="J88" s="16">
        <f t="shared" si="15"/>
        <v>101.49804149136806</v>
      </c>
      <c r="K88" s="620">
        <v>699626</v>
      </c>
      <c r="L88" s="158">
        <f t="shared" si="16"/>
        <v>2.1264457795489612E-3</v>
      </c>
      <c r="N88" s="23" t="s">
        <v>241</v>
      </c>
      <c r="O88" s="620">
        <v>689300</v>
      </c>
      <c r="P88" s="620">
        <v>693936</v>
      </c>
      <c r="Q88" s="620">
        <v>700595</v>
      </c>
      <c r="R88" s="620">
        <v>694465</v>
      </c>
      <c r="S88" s="620">
        <v>689435</v>
      </c>
      <c r="T88" s="620">
        <v>689284</v>
      </c>
      <c r="U88" s="620">
        <v>692885</v>
      </c>
      <c r="V88" s="620">
        <v>699626</v>
      </c>
    </row>
    <row r="89" spans="1:22" ht="15">
      <c r="A89" s="22" t="s">
        <v>262</v>
      </c>
      <c r="B89" s="22" t="s">
        <v>247</v>
      </c>
      <c r="C89" s="23">
        <v>100</v>
      </c>
      <c r="D89" s="16">
        <f t="shared" si="9"/>
        <v>100.21415753240501</v>
      </c>
      <c r="E89" s="16">
        <f t="shared" si="10"/>
        <v>100.48459003682883</v>
      </c>
      <c r="F89" s="16">
        <f t="shared" si="11"/>
        <v>98.245158789212724</v>
      </c>
      <c r="G89" s="16">
        <f t="shared" si="12"/>
        <v>97.297863426895674</v>
      </c>
      <c r="H89" s="16">
        <f t="shared" si="13"/>
        <v>97.029306754872479</v>
      </c>
      <c r="I89" s="16">
        <f t="shared" si="14"/>
        <v>97.36289228345079</v>
      </c>
      <c r="J89" s="16">
        <f t="shared" si="15"/>
        <v>98.198575617930459</v>
      </c>
      <c r="K89" s="620">
        <v>314096</v>
      </c>
      <c r="L89" s="158">
        <f t="shared" si="16"/>
        <v>-2.5935559987962441E-3</v>
      </c>
      <c r="N89" s="23" t="s">
        <v>247</v>
      </c>
      <c r="O89" s="620">
        <v>319858</v>
      </c>
      <c r="P89" s="620">
        <v>320543</v>
      </c>
      <c r="Q89" s="620">
        <v>321408</v>
      </c>
      <c r="R89" s="620">
        <v>314245</v>
      </c>
      <c r="S89" s="620">
        <v>311215</v>
      </c>
      <c r="T89" s="620">
        <v>310356</v>
      </c>
      <c r="U89" s="620">
        <v>311423</v>
      </c>
      <c r="V89" s="620">
        <v>314096</v>
      </c>
    </row>
    <row r="90" spans="1:22" ht="15">
      <c r="A90" s="22" t="s">
        <v>263</v>
      </c>
      <c r="B90" s="22" t="s">
        <v>242</v>
      </c>
      <c r="C90" s="23">
        <v>100</v>
      </c>
      <c r="D90" s="16">
        <f t="shared" si="9"/>
        <v>101.13560474336838</v>
      </c>
      <c r="E90" s="16">
        <f t="shared" si="10"/>
        <v>102.13192869304679</v>
      </c>
      <c r="F90" s="16">
        <f t="shared" si="11"/>
        <v>101.21472104734343</v>
      </c>
      <c r="G90" s="16">
        <f t="shared" si="12"/>
        <v>101.18253304534596</v>
      </c>
      <c r="H90" s="16">
        <f t="shared" si="13"/>
        <v>100.78695152547064</v>
      </c>
      <c r="I90" s="16">
        <f t="shared" si="14"/>
        <v>101.0916846658765</v>
      </c>
      <c r="J90" s="16">
        <f t="shared" si="15"/>
        <v>102.51006251090482</v>
      </c>
      <c r="K90" s="620">
        <v>340766</v>
      </c>
      <c r="L90" s="158">
        <f t="shared" si="16"/>
        <v>3.5478184633706265E-3</v>
      </c>
      <c r="N90" s="23" t="s">
        <v>242</v>
      </c>
      <c r="O90" s="620">
        <v>332422</v>
      </c>
      <c r="P90" s="620">
        <v>336197</v>
      </c>
      <c r="Q90" s="620">
        <v>339509</v>
      </c>
      <c r="R90" s="620">
        <v>336460</v>
      </c>
      <c r="S90" s="620">
        <v>336353</v>
      </c>
      <c r="T90" s="620">
        <v>335038</v>
      </c>
      <c r="U90" s="620">
        <v>336051</v>
      </c>
      <c r="V90" s="620">
        <v>340766</v>
      </c>
    </row>
    <row r="91" spans="1:22" ht="15">
      <c r="A91" s="22" t="s">
        <v>264</v>
      </c>
      <c r="B91" s="22" t="s">
        <v>243</v>
      </c>
      <c r="C91" s="23">
        <v>100</v>
      </c>
      <c r="D91" s="16">
        <f t="shared" si="9"/>
        <v>101.63826072035171</v>
      </c>
      <c r="E91" s="16">
        <f t="shared" si="10"/>
        <v>103.33546768522388</v>
      </c>
      <c r="F91" s="16">
        <f t="shared" si="11"/>
        <v>103.65403162124416</v>
      </c>
      <c r="G91" s="16">
        <f t="shared" si="12"/>
        <v>104.0618887902038</v>
      </c>
      <c r="H91" s="16">
        <f t="shared" si="13"/>
        <v>105.06699375741792</v>
      </c>
      <c r="I91" s="16">
        <f t="shared" si="14"/>
        <v>106.77707038753582</v>
      </c>
      <c r="J91" s="16">
        <f t="shared" si="15"/>
        <v>108.5808890237644</v>
      </c>
      <c r="K91" s="620">
        <v>683394</v>
      </c>
      <c r="L91" s="158">
        <f t="shared" si="16"/>
        <v>1.1830176670421048E-2</v>
      </c>
      <c r="N91" s="23" t="s">
        <v>243</v>
      </c>
      <c r="O91" s="620">
        <v>629387</v>
      </c>
      <c r="P91" s="620">
        <v>639698</v>
      </c>
      <c r="Q91" s="620">
        <v>650380</v>
      </c>
      <c r="R91" s="620">
        <v>652385</v>
      </c>
      <c r="S91" s="620">
        <v>654952</v>
      </c>
      <c r="T91" s="620">
        <v>661278</v>
      </c>
      <c r="U91" s="620">
        <v>672041</v>
      </c>
      <c r="V91" s="620">
        <v>683394</v>
      </c>
    </row>
    <row r="92" spans="1:22" ht="15">
      <c r="A92" s="22" t="s">
        <v>265</v>
      </c>
      <c r="B92" s="22" t="s">
        <v>244</v>
      </c>
      <c r="C92" s="23">
        <v>100</v>
      </c>
      <c r="D92" s="16">
        <f t="shared" si="9"/>
        <v>100.11676387331553</v>
      </c>
      <c r="E92" s="16">
        <f t="shared" si="10"/>
        <v>100.43286656757672</v>
      </c>
      <c r="F92" s="16">
        <f t="shared" si="11"/>
        <v>98.862204142654747</v>
      </c>
      <c r="G92" s="16">
        <f t="shared" si="12"/>
        <v>97.494357378578613</v>
      </c>
      <c r="H92" s="16">
        <f t="shared" si="13"/>
        <v>97.173329161125451</v>
      </c>
      <c r="I92" s="16">
        <f t="shared" si="14"/>
        <v>96.73524733369841</v>
      </c>
      <c r="J92" s="16">
        <f t="shared" si="15"/>
        <v>97.018030312249195</v>
      </c>
      <c r="K92" s="620">
        <v>334849</v>
      </c>
      <c r="L92" s="158">
        <f t="shared" si="16"/>
        <v>-4.3154252839404097E-3</v>
      </c>
      <c r="N92" s="23" t="s">
        <v>244</v>
      </c>
      <c r="O92" s="620">
        <v>345141</v>
      </c>
      <c r="P92" s="620">
        <v>345544</v>
      </c>
      <c r="Q92" s="620">
        <v>346635</v>
      </c>
      <c r="R92" s="620">
        <v>341214</v>
      </c>
      <c r="S92" s="620">
        <v>336493</v>
      </c>
      <c r="T92" s="620">
        <v>335385</v>
      </c>
      <c r="U92" s="620">
        <v>333873</v>
      </c>
      <c r="V92" s="620">
        <v>334849</v>
      </c>
    </row>
    <row r="93" spans="1:22" ht="15">
      <c r="A93" s="22" t="s">
        <v>266</v>
      </c>
      <c r="B93" s="22" t="s">
        <v>245</v>
      </c>
      <c r="C93" s="23">
        <v>100</v>
      </c>
      <c r="D93" s="16">
        <f t="shared" si="9"/>
        <v>101.67140409130432</v>
      </c>
      <c r="E93" s="16">
        <f t="shared" si="10"/>
        <v>102.23989504782341</v>
      </c>
      <c r="F93" s="16">
        <f t="shared" si="11"/>
        <v>101.21834018946309</v>
      </c>
      <c r="G93" s="16">
        <f t="shared" si="12"/>
        <v>100.82731197339585</v>
      </c>
      <c r="H93" s="16">
        <f t="shared" si="13"/>
        <v>100.53187973212788</v>
      </c>
      <c r="I93" s="16">
        <f t="shared" si="14"/>
        <v>101.423769837436</v>
      </c>
      <c r="J93" s="16">
        <f t="shared" si="15"/>
        <v>103.04178255983646</v>
      </c>
      <c r="K93" s="620">
        <v>202643</v>
      </c>
      <c r="L93" s="158">
        <f t="shared" si="16"/>
        <v>4.2898000920557535E-3</v>
      </c>
      <c r="N93" s="23" t="s">
        <v>245</v>
      </c>
      <c r="O93" s="620">
        <v>196661</v>
      </c>
      <c r="P93" s="620">
        <v>199948</v>
      </c>
      <c r="Q93" s="620">
        <v>201066</v>
      </c>
      <c r="R93" s="620">
        <v>199057</v>
      </c>
      <c r="S93" s="620">
        <v>198288</v>
      </c>
      <c r="T93" s="620">
        <v>197707</v>
      </c>
      <c r="U93" s="620">
        <v>199461</v>
      </c>
      <c r="V93" s="620">
        <v>202643</v>
      </c>
    </row>
    <row r="94" spans="1:22" ht="15">
      <c r="A94" s="22" t="s">
        <v>267</v>
      </c>
      <c r="B94" s="22" t="s">
        <v>246</v>
      </c>
      <c r="C94" s="23">
        <v>100</v>
      </c>
      <c r="D94" s="16">
        <f t="shared" si="9"/>
        <v>101.77219047619049</v>
      </c>
      <c r="E94" s="16">
        <f t="shared" si="10"/>
        <v>101.23047619047618</v>
      </c>
      <c r="F94" s="16">
        <f t="shared" si="11"/>
        <v>100.07085714285715</v>
      </c>
      <c r="G94" s="16">
        <f t="shared" si="12"/>
        <v>99.48266666666666</v>
      </c>
      <c r="H94" s="16">
        <f t="shared" si="13"/>
        <v>98.444952380952373</v>
      </c>
      <c r="I94" s="16">
        <f t="shared" si="14"/>
        <v>97.913142857142859</v>
      </c>
      <c r="J94" s="16">
        <f t="shared" si="15"/>
        <v>99.457523809523806</v>
      </c>
      <c r="K94" s="620">
        <v>130538</v>
      </c>
      <c r="L94" s="158">
        <f t="shared" si="16"/>
        <v>-7.7677377727808892E-4</v>
      </c>
      <c r="N94" s="23" t="s">
        <v>246</v>
      </c>
      <c r="O94" s="620">
        <v>131250</v>
      </c>
      <c r="P94" s="620">
        <v>133576</v>
      </c>
      <c r="Q94" s="620">
        <v>132865</v>
      </c>
      <c r="R94" s="620">
        <v>131343</v>
      </c>
      <c r="S94" s="620">
        <v>130571</v>
      </c>
      <c r="T94" s="620">
        <v>129209</v>
      </c>
      <c r="U94" s="620">
        <v>128511</v>
      </c>
      <c r="V94" s="620">
        <v>130538</v>
      </c>
    </row>
    <row r="95" spans="1:22" ht="15">
      <c r="A95" s="22" t="s">
        <v>73</v>
      </c>
      <c r="B95" s="22" t="s">
        <v>74</v>
      </c>
      <c r="C95" s="23">
        <v>100</v>
      </c>
      <c r="D95" s="16">
        <f t="shared" si="9"/>
        <v>101.22208305231717</v>
      </c>
      <c r="E95" s="16">
        <f t="shared" si="10"/>
        <v>102.22089475543565</v>
      </c>
      <c r="F95" s="16">
        <f t="shared" si="11"/>
        <v>102.23913671837363</v>
      </c>
      <c r="G95" s="16">
        <f t="shared" si="12"/>
        <v>102.23682435687446</v>
      </c>
      <c r="H95" s="16">
        <f t="shared" si="13"/>
        <v>102.37659376304717</v>
      </c>
      <c r="I95" s="16">
        <f t="shared" si="14"/>
        <v>103.02444037640106</v>
      </c>
      <c r="J95" s="16">
        <f t="shared" si="15"/>
        <v>105.07203648392587</v>
      </c>
      <c r="K95" s="620">
        <v>817907</v>
      </c>
      <c r="L95" s="158">
        <f t="shared" si="16"/>
        <v>7.0930359253618142E-3</v>
      </c>
      <c r="N95" s="23" t="s">
        <v>74</v>
      </c>
      <c r="O95" s="620">
        <v>778425</v>
      </c>
      <c r="P95" s="620">
        <v>787938</v>
      </c>
      <c r="Q95" s="620">
        <v>795713</v>
      </c>
      <c r="R95" s="620">
        <v>795855</v>
      </c>
      <c r="S95" s="620">
        <v>795837</v>
      </c>
      <c r="T95" s="620">
        <v>796925</v>
      </c>
      <c r="U95" s="620">
        <v>801968</v>
      </c>
      <c r="V95" s="620">
        <v>817907</v>
      </c>
    </row>
    <row r="96" spans="1:22" ht="15">
      <c r="A96" s="22" t="s">
        <v>69</v>
      </c>
      <c r="B96" s="22" t="s">
        <v>70</v>
      </c>
      <c r="C96" s="23">
        <v>100</v>
      </c>
      <c r="D96" s="16">
        <f t="shared" si="9"/>
        <v>101.29079102804302</v>
      </c>
      <c r="E96" s="16">
        <f t="shared" si="10"/>
        <v>102.84154609000549</v>
      </c>
      <c r="F96" s="16">
        <f t="shared" si="11"/>
        <v>103.52851327660022</v>
      </c>
      <c r="G96" s="16">
        <f t="shared" si="12"/>
        <v>104.17560175466318</v>
      </c>
      <c r="H96" s="16">
        <f t="shared" si="13"/>
        <v>104.56836941227812</v>
      </c>
      <c r="I96" s="16">
        <f t="shared" si="14"/>
        <v>106.32228015921386</v>
      </c>
      <c r="J96" s="16">
        <f t="shared" si="15"/>
        <v>109.20596224313974</v>
      </c>
      <c r="K96" s="620">
        <v>290276</v>
      </c>
      <c r="L96" s="158">
        <f t="shared" si="16"/>
        <v>1.2660253120355913E-2</v>
      </c>
      <c r="N96" s="594" t="s">
        <v>70</v>
      </c>
      <c r="O96" s="620">
        <v>265806</v>
      </c>
      <c r="P96" s="620">
        <v>269237</v>
      </c>
      <c r="Q96" s="620">
        <v>273359</v>
      </c>
      <c r="R96" s="620">
        <v>275185</v>
      </c>
      <c r="S96" s="620">
        <v>276905</v>
      </c>
      <c r="T96" s="620">
        <v>277949</v>
      </c>
      <c r="U96" s="620">
        <v>282611</v>
      </c>
      <c r="V96" s="620">
        <v>290276</v>
      </c>
    </row>
    <row r="97" spans="1:32" ht="15">
      <c r="A97" s="27" t="s">
        <v>1413</v>
      </c>
      <c r="B97" s="22" t="s">
        <v>1406</v>
      </c>
      <c r="C97" s="23">
        <v>100</v>
      </c>
      <c r="D97" s="16">
        <f t="shared" ref="D97" si="17">(P97/$O97)*100</f>
        <v>101.09076542145658</v>
      </c>
      <c r="E97" s="16">
        <f t="shared" ref="E97" si="18">(Q97/$O97)*100</f>
        <v>101.79280021490555</v>
      </c>
      <c r="F97" s="16">
        <f t="shared" ref="F97" si="19">(R97/$O97)*100</f>
        <v>101.47350982227638</v>
      </c>
      <c r="G97" s="16">
        <f t="shared" ref="G97" si="20">(S97/$O97)*100</f>
        <v>101.21707481511912</v>
      </c>
      <c r="H97" s="16">
        <f t="shared" ref="H97" si="21">(T97/$O97)*100</f>
        <v>100.87092122798471</v>
      </c>
      <c r="I97" s="16">
        <f t="shared" ref="I97" si="22">(U97/$O97)*100</f>
        <v>101.14479112182646</v>
      </c>
      <c r="J97" s="16">
        <f t="shared" ref="J97" si="23">(V97/$O97)*100</f>
        <v>102.54713966840792</v>
      </c>
      <c r="K97" s="620">
        <v>1370441</v>
      </c>
      <c r="L97" s="158">
        <f t="shared" si="16"/>
        <v>3.5996641528021202E-3</v>
      </c>
      <c r="N97" s="594" t="s">
        <v>1406</v>
      </c>
      <c r="O97" s="620">
        <v>1336401</v>
      </c>
      <c r="P97" s="620">
        <v>1350978</v>
      </c>
      <c r="Q97" s="620">
        <v>1360360</v>
      </c>
      <c r="R97" s="620">
        <v>1356093</v>
      </c>
      <c r="S97" s="620">
        <v>1352666</v>
      </c>
      <c r="T97" s="620">
        <v>1348040</v>
      </c>
      <c r="U97" s="620">
        <v>1351700</v>
      </c>
      <c r="V97" s="620">
        <v>1370441</v>
      </c>
    </row>
    <row r="98" spans="1:32" ht="15">
      <c r="A98" s="22" t="s">
        <v>436</v>
      </c>
      <c r="B98" s="22" t="s">
        <v>1525</v>
      </c>
      <c r="C98" s="23">
        <v>100</v>
      </c>
      <c r="D98" s="16">
        <f t="shared" si="9"/>
        <v>100.91958521751235</v>
      </c>
      <c r="E98" s="16">
        <f t="shared" si="10"/>
        <v>101.60749348224303</v>
      </c>
      <c r="F98" s="16">
        <f t="shared" si="11"/>
        <v>101.08835565702073</v>
      </c>
      <c r="G98" s="16">
        <f t="shared" si="12"/>
        <v>100.74002580013581</v>
      </c>
      <c r="H98" s="16">
        <f t="shared" si="13"/>
        <v>100.55853394137708</v>
      </c>
      <c r="I98" s="16">
        <f t="shared" si="14"/>
        <v>101.16595689826696</v>
      </c>
      <c r="J98" s="16">
        <f t="shared" si="15"/>
        <v>102.39413140321165</v>
      </c>
      <c r="K98" s="620">
        <v>17538673</v>
      </c>
      <c r="L98" s="158">
        <f t="shared" si="16"/>
        <v>3.3856060411756538E-3</v>
      </c>
      <c r="N98" s="22" t="s">
        <v>1525</v>
      </c>
      <c r="O98" s="620">
        <v>17128592</v>
      </c>
      <c r="P98" s="620">
        <v>17286104</v>
      </c>
      <c r="Q98" s="620">
        <v>17403933</v>
      </c>
      <c r="R98" s="620">
        <v>17315012</v>
      </c>
      <c r="S98" s="620">
        <v>17255348</v>
      </c>
      <c r="T98" s="620">
        <v>17224261</v>
      </c>
      <c r="U98" s="620">
        <v>17328304</v>
      </c>
      <c r="V98" s="620">
        <v>17538673</v>
      </c>
    </row>
    <row r="100" spans="1:32">
      <c r="D100" s="23">
        <f>MIN(D50:J98)</f>
        <v>96.381024743153503</v>
      </c>
    </row>
    <row r="101" spans="1:32">
      <c r="D101" s="23">
        <f>MAX(D50:J98)</f>
        <v>113.40928599297698</v>
      </c>
    </row>
    <row r="102" spans="1:32" s="25" customFormat="1" ht="15">
      <c r="A102" s="24"/>
      <c r="B102"/>
      <c r="C102"/>
      <c r="F102" s="304"/>
      <c r="AA102" s="24"/>
      <c r="AB102" s="24"/>
      <c r="AC102" s="24"/>
      <c r="AD102" s="24"/>
      <c r="AE102" s="24"/>
      <c r="AF102" s="24"/>
    </row>
    <row r="104" spans="1:32" ht="15">
      <c r="B104"/>
      <c r="C104"/>
      <c r="D104"/>
      <c r="E104"/>
      <c r="F104" s="21"/>
      <c r="G104"/>
      <c r="H104"/>
      <c r="I104"/>
    </row>
    <row r="105" spans="1:32" ht="15">
      <c r="B105" s="79"/>
      <c r="C105" s="214"/>
      <c r="D105"/>
      <c r="E105"/>
      <c r="F105" s="21"/>
      <c r="G105"/>
      <c r="H105"/>
      <c r="I105"/>
    </row>
    <row r="106" spans="1:32" ht="15">
      <c r="A106" s="22" t="s">
        <v>520</v>
      </c>
      <c r="B106" s="79"/>
      <c r="C106" s="214"/>
      <c r="D106"/>
    </row>
    <row r="107" spans="1:32" ht="15">
      <c r="A107" s="22" t="s">
        <v>1902</v>
      </c>
      <c r="B107" s="79" t="s">
        <v>1903</v>
      </c>
      <c r="C107" s="214"/>
      <c r="D107" t="s">
        <v>1904</v>
      </c>
      <c r="H107" s="23" t="s">
        <v>1907</v>
      </c>
    </row>
    <row r="108" spans="1:32" ht="15">
      <c r="A108" s="22">
        <v>59</v>
      </c>
      <c r="B108" s="79" t="s">
        <v>1905</v>
      </c>
      <c r="C108" s="214"/>
      <c r="D108" s="868">
        <v>187518.590257198</v>
      </c>
      <c r="F108" s="302" t="s">
        <v>88</v>
      </c>
      <c r="G108" s="23" t="s">
        <v>89</v>
      </c>
      <c r="H108" s="23">
        <v>187343.35399752264</v>
      </c>
    </row>
    <row r="109" spans="1:32" ht="15">
      <c r="A109" s="22">
        <v>61</v>
      </c>
      <c r="B109" s="79" t="s">
        <v>461</v>
      </c>
      <c r="C109" s="214"/>
      <c r="D109" s="868">
        <v>636560.98945028498</v>
      </c>
      <c r="F109" s="23" t="s">
        <v>26</v>
      </c>
      <c r="G109" s="23" t="s">
        <v>27</v>
      </c>
      <c r="H109" s="23">
        <v>637337.42166229326</v>
      </c>
    </row>
    <row r="110" spans="1:32" ht="15">
      <c r="A110" s="22">
        <v>2307</v>
      </c>
      <c r="B110" s="79" t="s">
        <v>110</v>
      </c>
      <c r="C110" s="214"/>
      <c r="D110" s="868">
        <v>327277.83418860298</v>
      </c>
      <c r="F110" s="23" t="s">
        <v>22</v>
      </c>
      <c r="G110" s="23" t="s">
        <v>23</v>
      </c>
      <c r="H110" s="23">
        <v>327058.20938843844</v>
      </c>
    </row>
    <row r="111" spans="1:32" ht="15">
      <c r="A111" s="22">
        <v>3111</v>
      </c>
      <c r="B111" s="79" t="s">
        <v>462</v>
      </c>
      <c r="C111" s="214"/>
      <c r="D111" s="868">
        <v>390344.31067546603</v>
      </c>
      <c r="F111" s="23" t="s">
        <v>9</v>
      </c>
      <c r="G111" s="23" t="s">
        <v>10</v>
      </c>
      <c r="H111" s="23">
        <v>390348.44275564916</v>
      </c>
    </row>
    <row r="112" spans="1:32" ht="15">
      <c r="A112" s="22">
        <v>3122</v>
      </c>
      <c r="B112" s="79" t="s">
        <v>1906</v>
      </c>
      <c r="C112" s="214"/>
      <c r="D112" s="868">
        <v>110398.14022458201</v>
      </c>
      <c r="F112" s="23" t="s">
        <v>87</v>
      </c>
      <c r="G112" s="23" t="s">
        <v>1076</v>
      </c>
      <c r="H112" s="23">
        <v>110037.63561752094</v>
      </c>
    </row>
    <row r="113" spans="1:8" ht="15">
      <c r="A113" s="22">
        <v>4205</v>
      </c>
      <c r="B113" t="s">
        <v>465</v>
      </c>
      <c r="C113"/>
      <c r="D113" s="868">
        <v>277590.08127096202</v>
      </c>
      <c r="F113" s="23" t="s">
        <v>24</v>
      </c>
      <c r="G113" s="23" t="s">
        <v>25</v>
      </c>
      <c r="H113" s="23">
        <v>278038.51575374813</v>
      </c>
    </row>
    <row r="114" spans="1:8" ht="15">
      <c r="A114" s="22">
        <v>5203</v>
      </c>
      <c r="B114" t="s">
        <v>466</v>
      </c>
      <c r="C114"/>
      <c r="D114" s="868">
        <v>467845.70052516402</v>
      </c>
      <c r="F114" s="23" t="s">
        <v>16</v>
      </c>
      <c r="G114" s="23" t="s">
        <v>17</v>
      </c>
      <c r="H114" s="23">
        <v>467957.70957027038</v>
      </c>
    </row>
    <row r="115" spans="1:8" ht="15">
      <c r="A115" s="22">
        <v>5312</v>
      </c>
      <c r="B115" t="s">
        <v>469</v>
      </c>
      <c r="C115"/>
      <c r="D115" s="868">
        <v>349239.99054623098</v>
      </c>
      <c r="F115" s="23" t="s">
        <v>20</v>
      </c>
      <c r="G115" s="23" t="s">
        <v>21</v>
      </c>
      <c r="H115" s="23">
        <v>349746.58051034209</v>
      </c>
    </row>
    <row r="116" spans="1:8" ht="15">
      <c r="A116" s="22">
        <v>7204</v>
      </c>
      <c r="B116" t="s">
        <v>2</v>
      </c>
      <c r="C116"/>
      <c r="D116" s="868">
        <v>548083.92018204904</v>
      </c>
      <c r="F116" s="23" t="s">
        <v>5</v>
      </c>
      <c r="G116" s="23" t="s">
        <v>6</v>
      </c>
      <c r="H116" s="23">
        <v>548081.44005627453</v>
      </c>
    </row>
    <row r="117" spans="1:8" ht="15">
      <c r="A117" s="22">
        <v>8210</v>
      </c>
      <c r="B117" t="s">
        <v>470</v>
      </c>
      <c r="C117"/>
      <c r="D117" s="868">
        <v>344766.43405980698</v>
      </c>
      <c r="F117" s="23" t="s">
        <v>7</v>
      </c>
      <c r="G117" s="23" t="s">
        <v>8</v>
      </c>
      <c r="H117" s="23">
        <v>344083.74004535232</v>
      </c>
    </row>
    <row r="118" spans="1:8" ht="15">
      <c r="A118" s="22">
        <v>8214</v>
      </c>
      <c r="B118" t="s">
        <v>460</v>
      </c>
      <c r="C118"/>
      <c r="D118" s="868">
        <v>845421.54110058805</v>
      </c>
      <c r="F118" s="23" t="s">
        <v>11</v>
      </c>
      <c r="G118" s="23" t="s">
        <v>12</v>
      </c>
      <c r="H118" s="23">
        <v>845998.20149693417</v>
      </c>
    </row>
    <row r="119" spans="1:8" ht="15">
      <c r="A119" s="22">
        <v>9111</v>
      </c>
      <c r="B119" t="s">
        <v>464</v>
      </c>
      <c r="C119"/>
      <c r="D119" s="868">
        <v>271093.994457505</v>
      </c>
      <c r="F119" s="23" t="s">
        <v>14</v>
      </c>
      <c r="G119" s="23" t="s">
        <v>15</v>
      </c>
      <c r="H119" s="23">
        <v>270915.85703632148</v>
      </c>
    </row>
    <row r="120" spans="1:8" ht="15">
      <c r="A120" s="22">
        <v>9307</v>
      </c>
      <c r="B120" t="s">
        <v>467</v>
      </c>
      <c r="C120"/>
      <c r="D120" s="868">
        <v>232144.57454438799</v>
      </c>
      <c r="F120" s="23" t="s">
        <v>18</v>
      </c>
      <c r="G120" s="23" t="s">
        <v>19</v>
      </c>
      <c r="H120" s="23">
        <v>231922.48670410592</v>
      </c>
    </row>
    <row r="121" spans="1:8" ht="15">
      <c r="A121" s="22">
        <v>9310</v>
      </c>
      <c r="B121" t="s">
        <v>891</v>
      </c>
      <c r="C121"/>
      <c r="D121" s="868">
        <v>504891.08815916401</v>
      </c>
      <c r="F121" s="23" t="s">
        <v>13</v>
      </c>
      <c r="G121" s="23" t="s">
        <v>54</v>
      </c>
      <c r="H121" s="23">
        <v>505432.12586431258</v>
      </c>
    </row>
    <row r="122" spans="1:8">
      <c r="A122" s="22">
        <v>9315</v>
      </c>
      <c r="B122" s="22" t="s">
        <v>744</v>
      </c>
      <c r="D122" s="23">
        <v>219226.14555436699</v>
      </c>
      <c r="F122" s="23" t="s">
        <v>51</v>
      </c>
      <c r="G122" s="23" t="s">
        <v>55</v>
      </c>
      <c r="H122" s="23">
        <v>218713.1149303398</v>
      </c>
    </row>
    <row r="123" spans="1:8">
      <c r="F123" s="23"/>
    </row>
    <row r="124" spans="1:8">
      <c r="F124" s="23"/>
    </row>
    <row r="125" spans="1:8">
      <c r="F125" s="23"/>
    </row>
    <row r="126" spans="1:8">
      <c r="F126" s="23"/>
    </row>
    <row r="127" spans="1:8">
      <c r="F127" s="23"/>
    </row>
    <row r="128" spans="1:8">
      <c r="F128" s="23"/>
    </row>
    <row r="129" spans="3:6">
      <c r="F129" s="23"/>
    </row>
    <row r="130" spans="3:6">
      <c r="F130" s="23"/>
    </row>
    <row r="131" spans="3:6">
      <c r="F131" s="23"/>
    </row>
    <row r="132" spans="3:6">
      <c r="F132" s="23"/>
    </row>
    <row r="133" spans="3:6">
      <c r="C133" s="22"/>
      <c r="F133" s="23"/>
    </row>
    <row r="134" spans="3:6">
      <c r="C134" s="22"/>
      <c r="F134" s="23"/>
    </row>
    <row r="135" spans="3:6">
      <c r="C135" s="22"/>
      <c r="F135" s="23"/>
    </row>
    <row r="136" spans="3:6">
      <c r="C136" s="22"/>
      <c r="F136" s="23"/>
    </row>
    <row r="137" spans="3:6">
      <c r="F137" s="23"/>
    </row>
    <row r="138" spans="3:6">
      <c r="F138" s="23"/>
    </row>
    <row r="139" spans="3:6">
      <c r="F139" s="23"/>
    </row>
    <row r="140" spans="3:6">
      <c r="F140" s="23"/>
    </row>
    <row r="141" spans="3:6">
      <c r="F141" s="23"/>
    </row>
    <row r="142" spans="3:6">
      <c r="F142" s="23"/>
    </row>
    <row r="143" spans="3:6">
      <c r="F143" s="23"/>
    </row>
    <row r="144" spans="3:6">
      <c r="F144" s="23"/>
    </row>
    <row r="145" spans="6:6">
      <c r="F145" s="23"/>
    </row>
    <row r="146" spans="6:6">
      <c r="F146" s="23"/>
    </row>
    <row r="147" spans="6:6">
      <c r="F147" s="23"/>
    </row>
    <row r="148" spans="6:6">
      <c r="F148" s="23"/>
    </row>
    <row r="149" spans="6:6">
      <c r="F149" s="23"/>
    </row>
    <row r="150" spans="6:6">
      <c r="F150" s="23"/>
    </row>
    <row r="151" spans="6:6">
      <c r="F151" s="23"/>
    </row>
    <row r="152" spans="6:6">
      <c r="F152" s="23"/>
    </row>
    <row r="153" spans="6:6">
      <c r="F153" s="23"/>
    </row>
    <row r="154" spans="6:6">
      <c r="F154" s="23"/>
    </row>
    <row r="155" spans="6:6">
      <c r="F155" s="23"/>
    </row>
    <row r="156" spans="6:6">
      <c r="F156" s="23"/>
    </row>
    <row r="157" spans="6:6">
      <c r="F157" s="23"/>
    </row>
    <row r="158" spans="6:6">
      <c r="F158" s="23"/>
    </row>
    <row r="159" spans="6:6">
      <c r="F159" s="23"/>
    </row>
    <row r="160" spans="6:6">
      <c r="F160" s="23"/>
    </row>
    <row r="161" spans="6:6">
      <c r="F161" s="23"/>
    </row>
    <row r="162" spans="6:6">
      <c r="F162" s="23"/>
    </row>
    <row r="163" spans="6:6">
      <c r="F163" s="23"/>
    </row>
    <row r="164" spans="6:6">
      <c r="F164" s="23"/>
    </row>
    <row r="165" spans="6:6">
      <c r="F165" s="23"/>
    </row>
    <row r="166" spans="6:6">
      <c r="F166" s="23"/>
    </row>
    <row r="167" spans="6:6">
      <c r="F167" s="23"/>
    </row>
    <row r="168" spans="6:6">
      <c r="F168" s="23"/>
    </row>
    <row r="169" spans="6:6">
      <c r="F169" s="23"/>
    </row>
    <row r="170" spans="6:6">
      <c r="F170" s="23"/>
    </row>
    <row r="171" spans="6:6">
      <c r="F171" s="23"/>
    </row>
    <row r="172" spans="6:6">
      <c r="F172" s="23"/>
    </row>
    <row r="173" spans="6:6">
      <c r="F173" s="23"/>
    </row>
    <row r="174" spans="6:6">
      <c r="F174" s="23"/>
    </row>
    <row r="175" spans="6:6">
      <c r="F175" s="23"/>
    </row>
    <row r="176" spans="6:6">
      <c r="F176" s="23"/>
    </row>
    <row r="177" spans="6:6">
      <c r="F177" s="23"/>
    </row>
    <row r="178" spans="6:6">
      <c r="F178" s="23"/>
    </row>
    <row r="179" spans="6:6">
      <c r="F179" s="23"/>
    </row>
    <row r="180" spans="6:6">
      <c r="F180" s="23"/>
    </row>
    <row r="181" spans="6:6">
      <c r="F181" s="23"/>
    </row>
    <row r="182" spans="6:6">
      <c r="F182" s="23"/>
    </row>
    <row r="183" spans="6:6">
      <c r="F183" s="23"/>
    </row>
    <row r="184" spans="6:6">
      <c r="F184" s="23"/>
    </row>
    <row r="185" spans="6:6">
      <c r="F185" s="23"/>
    </row>
    <row r="186" spans="6:6">
      <c r="F186" s="23"/>
    </row>
    <row r="187" spans="6:6">
      <c r="F187" s="23"/>
    </row>
    <row r="188" spans="6:6">
      <c r="F188" s="23"/>
    </row>
    <row r="189" spans="6:6">
      <c r="F189" s="23"/>
    </row>
    <row r="190" spans="6:6">
      <c r="F190" s="23"/>
    </row>
    <row r="191" spans="6:6">
      <c r="F191" s="23"/>
    </row>
    <row r="192" spans="6:6">
      <c r="F192" s="23"/>
    </row>
    <row r="193" spans="6:6">
      <c r="F193" s="23"/>
    </row>
    <row r="194" spans="6:6">
      <c r="F194" s="23"/>
    </row>
    <row r="195" spans="6:6">
      <c r="F195" s="23"/>
    </row>
    <row r="196" spans="6:6">
      <c r="F196" s="23"/>
    </row>
    <row r="197" spans="6:6">
      <c r="F197" s="23"/>
    </row>
    <row r="198" spans="6:6">
      <c r="F198" s="23"/>
    </row>
    <row r="199" spans="6:6">
      <c r="F199" s="23"/>
    </row>
    <row r="200" spans="6:6">
      <c r="F200" s="23"/>
    </row>
    <row r="201" spans="6:6">
      <c r="F201" s="23"/>
    </row>
    <row r="202" spans="6:6">
      <c r="F202" s="23"/>
    </row>
    <row r="203" spans="6:6">
      <c r="F203" s="23"/>
    </row>
    <row r="204" spans="6:6">
      <c r="F204" s="23"/>
    </row>
    <row r="205" spans="6:6">
      <c r="F205" s="23"/>
    </row>
    <row r="206" spans="6:6">
      <c r="F206" s="23"/>
    </row>
    <row r="207" spans="6:6">
      <c r="F207" s="23"/>
    </row>
    <row r="208" spans="6:6">
      <c r="F208" s="23"/>
    </row>
    <row r="209" spans="6:6">
      <c r="F209" s="23"/>
    </row>
    <row r="210" spans="6:6">
      <c r="F210" s="23"/>
    </row>
    <row r="211" spans="6:6">
      <c r="F211" s="23"/>
    </row>
    <row r="212" spans="6:6">
      <c r="F212" s="23"/>
    </row>
    <row r="213" spans="6:6">
      <c r="F213" s="23"/>
    </row>
    <row r="214" spans="6:6">
      <c r="F214" s="23"/>
    </row>
    <row r="215" spans="6:6">
      <c r="F215" s="23"/>
    </row>
    <row r="216" spans="6:6">
      <c r="F216" s="23"/>
    </row>
    <row r="217" spans="6:6">
      <c r="F217" s="23"/>
    </row>
    <row r="218" spans="6:6">
      <c r="F218" s="23"/>
    </row>
    <row r="219" spans="6:6">
      <c r="F219" s="23"/>
    </row>
    <row r="220" spans="6:6">
      <c r="F220" s="23"/>
    </row>
    <row r="221" spans="6:6">
      <c r="F221" s="23"/>
    </row>
    <row r="222" spans="6:6">
      <c r="F222" s="23"/>
    </row>
    <row r="223" spans="6:6">
      <c r="F223" s="23"/>
    </row>
    <row r="224" spans="6:6">
      <c r="F224" s="23"/>
    </row>
    <row r="225" spans="6:6">
      <c r="F225" s="23"/>
    </row>
    <row r="226" spans="6:6">
      <c r="F226" s="23"/>
    </row>
    <row r="227" spans="6:6">
      <c r="F227" s="23"/>
    </row>
    <row r="228" spans="6:6">
      <c r="F228" s="23"/>
    </row>
    <row r="229" spans="6:6">
      <c r="F229" s="23"/>
    </row>
    <row r="230" spans="6:6">
      <c r="F230" s="23"/>
    </row>
    <row r="231" spans="6:6">
      <c r="F231" s="23"/>
    </row>
    <row r="232" spans="6:6">
      <c r="F232" s="23"/>
    </row>
    <row r="233" spans="6:6">
      <c r="F233" s="23"/>
    </row>
    <row r="234" spans="6:6">
      <c r="F234" s="23"/>
    </row>
    <row r="235" spans="6:6">
      <c r="F235" s="23"/>
    </row>
    <row r="236" spans="6:6">
      <c r="F236" s="23"/>
    </row>
    <row r="237" spans="6:6">
      <c r="F237" s="23"/>
    </row>
    <row r="238" spans="6:6">
      <c r="F238" s="23"/>
    </row>
    <row r="239" spans="6:6">
      <c r="F239" s="23"/>
    </row>
    <row r="240" spans="6:6">
      <c r="F240" s="23"/>
    </row>
    <row r="241" spans="6:6">
      <c r="F241" s="23"/>
    </row>
    <row r="242" spans="6:6">
      <c r="F242" s="23"/>
    </row>
    <row r="243" spans="6:6">
      <c r="F243" s="23"/>
    </row>
    <row r="244" spans="6:6">
      <c r="F244" s="23"/>
    </row>
    <row r="245" spans="6:6">
      <c r="F245" s="23"/>
    </row>
    <row r="246" spans="6:6">
      <c r="F246" s="23"/>
    </row>
    <row r="247" spans="6:6">
      <c r="F247" s="23"/>
    </row>
    <row r="248" spans="6:6">
      <c r="F248" s="23"/>
    </row>
    <row r="249" spans="6:6">
      <c r="F249" s="23"/>
    </row>
    <row r="250" spans="6:6">
      <c r="F250" s="23"/>
    </row>
    <row r="251" spans="6:6">
      <c r="F251" s="23"/>
    </row>
  </sheetData>
  <sortState ref="F109:H122">
    <sortCondition ref="F108"/>
  </sortState>
  <hyperlinks>
    <hyperlink ref="G2" r:id="rId1" xr:uid="{00000000-0004-0000-0300-000000000000}"/>
  </hyperlinks>
  <pageMargins left="0.7" right="0.7" top="0.75" bottom="0.75" header="0.3" footer="0.3"/>
  <pageSetup paperSize="9" orientation="portrait"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H155"/>
  <sheetViews>
    <sheetView topLeftCell="U1" workbookViewId="0">
      <selection activeCell="AM13" sqref="AM13"/>
    </sheetView>
  </sheetViews>
  <sheetFormatPr baseColWidth="10" defaultRowHeight="15"/>
  <cols>
    <col min="2" max="2" width="21.140625" customWidth="1"/>
    <col min="3" max="3" width="31.140625" customWidth="1"/>
    <col min="4" max="4" width="31.42578125" customWidth="1"/>
    <col min="5" max="11" width="11.42578125" customWidth="1"/>
    <col min="12" max="12" width="33.140625" customWidth="1"/>
    <col min="13" max="18" width="11.42578125" customWidth="1"/>
    <col min="19" max="19" width="17.7109375" customWidth="1"/>
    <col min="20" max="35" width="11.42578125" customWidth="1"/>
  </cols>
  <sheetData>
    <row r="1" spans="1:37" ht="31.5" customHeight="1">
      <c r="A1" s="1088" t="s">
        <v>1302</v>
      </c>
      <c r="B1" s="1088"/>
      <c r="C1" s="1088"/>
      <c r="D1" s="1088"/>
      <c r="E1" s="1088"/>
      <c r="F1" s="1088"/>
      <c r="G1" s="1088"/>
      <c r="H1" s="1088"/>
      <c r="I1" s="1088"/>
      <c r="J1" s="1088"/>
      <c r="K1" s="1088"/>
      <c r="L1" s="1088"/>
    </row>
    <row r="2" spans="1:37" ht="33.75" customHeight="1">
      <c r="A2" s="1088"/>
      <c r="B2" s="1088"/>
      <c r="C2" s="1088"/>
      <c r="D2" s="1088"/>
      <c r="E2" s="1088"/>
      <c r="F2" s="1088"/>
      <c r="G2" s="1088"/>
      <c r="H2" s="1088"/>
      <c r="I2" s="1088"/>
      <c r="J2" s="1088"/>
      <c r="K2" s="1088"/>
      <c r="L2" s="1088"/>
    </row>
    <row r="3" spans="1:37" s="43" customFormat="1">
      <c r="A3" s="45" t="s">
        <v>140</v>
      </c>
      <c r="B3" s="42"/>
      <c r="U3" s="44"/>
    </row>
    <row r="4" spans="1:37" s="23" customFormat="1" ht="12.75">
      <c r="A4" s="811" t="s">
        <v>1794</v>
      </c>
      <c r="B4" s="28"/>
      <c r="U4" s="26"/>
      <c r="AJ4" s="23" t="s">
        <v>1793</v>
      </c>
    </row>
    <row r="5" spans="1:37" s="23" customFormat="1" ht="12.75">
      <c r="A5" s="22"/>
      <c r="B5" s="22"/>
      <c r="C5" s="603" t="s">
        <v>103</v>
      </c>
      <c r="D5" s="603" t="s">
        <v>103</v>
      </c>
      <c r="E5" s="603" t="s">
        <v>103</v>
      </c>
      <c r="F5" s="603" t="s">
        <v>104</v>
      </c>
      <c r="G5" s="603" t="s">
        <v>104</v>
      </c>
      <c r="H5" s="603" t="s">
        <v>104</v>
      </c>
      <c r="I5" s="603" t="s">
        <v>104</v>
      </c>
      <c r="J5" s="603" t="s">
        <v>105</v>
      </c>
      <c r="K5" s="603" t="s">
        <v>105</v>
      </c>
      <c r="L5" s="603" t="s">
        <v>105</v>
      </c>
      <c r="M5" s="603" t="s">
        <v>105</v>
      </c>
      <c r="N5" s="603" t="s">
        <v>106</v>
      </c>
      <c r="O5" s="603" t="s">
        <v>106</v>
      </c>
      <c r="P5" s="603" t="s">
        <v>106</v>
      </c>
      <c r="Q5" s="603" t="s">
        <v>106</v>
      </c>
      <c r="R5" s="603" t="s">
        <v>107</v>
      </c>
      <c r="S5" s="603" t="s">
        <v>107</v>
      </c>
      <c r="T5" s="603" t="s">
        <v>107</v>
      </c>
      <c r="U5" s="603" t="s">
        <v>107</v>
      </c>
      <c r="V5" s="603" t="s">
        <v>108</v>
      </c>
      <c r="W5" s="603" t="s">
        <v>108</v>
      </c>
      <c r="X5" s="603" t="s">
        <v>108</v>
      </c>
      <c r="Y5" s="603" t="s">
        <v>108</v>
      </c>
      <c r="Z5" s="603" t="s">
        <v>109</v>
      </c>
      <c r="AA5" s="603" t="s">
        <v>109</v>
      </c>
      <c r="AB5" s="603" t="s">
        <v>109</v>
      </c>
      <c r="AC5" s="603" t="s">
        <v>109</v>
      </c>
      <c r="AD5" s="603">
        <v>2016</v>
      </c>
      <c r="AE5" s="603">
        <v>2016</v>
      </c>
      <c r="AF5" s="804">
        <v>2016</v>
      </c>
      <c r="AG5" s="804">
        <v>2016</v>
      </c>
      <c r="AH5" s="890">
        <v>2017</v>
      </c>
      <c r="AI5" s="890">
        <v>2017</v>
      </c>
      <c r="AJ5" s="890">
        <v>2017</v>
      </c>
      <c r="AK5" s="890">
        <v>2017</v>
      </c>
    </row>
    <row r="6" spans="1:37" s="23" customFormat="1" ht="12.75">
      <c r="A6" s="24" t="s">
        <v>52</v>
      </c>
      <c r="B6" s="24" t="s">
        <v>53</v>
      </c>
      <c r="C6" s="604" t="s">
        <v>647</v>
      </c>
      <c r="D6" s="604" t="s">
        <v>648</v>
      </c>
      <c r="E6" s="604" t="s">
        <v>649</v>
      </c>
      <c r="F6" s="604" t="s">
        <v>650</v>
      </c>
      <c r="G6" s="604" t="s">
        <v>651</v>
      </c>
      <c r="H6" s="604" t="s">
        <v>652</v>
      </c>
      <c r="I6" s="604" t="s">
        <v>653</v>
      </c>
      <c r="J6" s="604" t="s">
        <v>654</v>
      </c>
      <c r="K6" s="604" t="s">
        <v>655</v>
      </c>
      <c r="L6" s="604" t="s">
        <v>656</v>
      </c>
      <c r="M6" s="604" t="s">
        <v>657</v>
      </c>
      <c r="N6" s="604" t="s">
        <v>658</v>
      </c>
      <c r="O6" s="604" t="s">
        <v>659</v>
      </c>
      <c r="P6" s="604" t="s">
        <v>660</v>
      </c>
      <c r="Q6" s="604" t="s">
        <v>661</v>
      </c>
      <c r="R6" s="604" t="s">
        <v>662</v>
      </c>
      <c r="S6" s="604" t="s">
        <v>663</v>
      </c>
      <c r="T6" s="604" t="s">
        <v>665</v>
      </c>
      <c r="U6" s="604" t="s">
        <v>664</v>
      </c>
      <c r="V6" s="604" t="s">
        <v>666</v>
      </c>
      <c r="W6" s="604" t="s">
        <v>667</v>
      </c>
      <c r="X6" s="604" t="s">
        <v>668</v>
      </c>
      <c r="Y6" s="604" t="s">
        <v>669</v>
      </c>
      <c r="Z6" s="604" t="s">
        <v>670</v>
      </c>
      <c r="AA6" s="604" t="s">
        <v>671</v>
      </c>
      <c r="AB6" s="604" t="s">
        <v>1300</v>
      </c>
      <c r="AC6" s="604" t="s">
        <v>1301</v>
      </c>
      <c r="AD6" s="604" t="s">
        <v>1303</v>
      </c>
      <c r="AE6" s="604" t="s">
        <v>1392</v>
      </c>
      <c r="AF6" s="805" t="s">
        <v>1398</v>
      </c>
      <c r="AG6" s="805" t="s">
        <v>1653</v>
      </c>
      <c r="AH6" s="891" t="s">
        <v>1725</v>
      </c>
      <c r="AI6" s="891" t="s">
        <v>1791</v>
      </c>
      <c r="AJ6" s="891" t="s">
        <v>1792</v>
      </c>
      <c r="AK6" s="891" t="s">
        <v>2055</v>
      </c>
    </row>
    <row r="7" spans="1:37" s="23" customFormat="1" ht="12.75">
      <c r="A7" s="22" t="s">
        <v>88</v>
      </c>
      <c r="B7" s="22" t="s">
        <v>89</v>
      </c>
      <c r="C7" s="605">
        <v>10</v>
      </c>
      <c r="D7" s="605">
        <v>10</v>
      </c>
      <c r="E7" s="605">
        <v>10.6</v>
      </c>
      <c r="F7" s="605">
        <v>10.6</v>
      </c>
      <c r="G7" s="605">
        <v>10.5</v>
      </c>
      <c r="H7" s="605">
        <v>10.5</v>
      </c>
      <c r="I7" s="605">
        <v>10.5</v>
      </c>
      <c r="J7" s="605">
        <v>10.7</v>
      </c>
      <c r="K7" s="605">
        <v>10.8</v>
      </c>
      <c r="L7" s="605">
        <v>11.1</v>
      </c>
      <c r="M7" s="605">
        <v>11.2</v>
      </c>
      <c r="N7" s="605">
        <v>11.3</v>
      </c>
      <c r="O7" s="605">
        <v>11.5</v>
      </c>
      <c r="P7" s="605">
        <v>11.4</v>
      </c>
      <c r="Q7" s="605">
        <v>11.8</v>
      </c>
      <c r="R7" s="605">
        <v>12.1</v>
      </c>
      <c r="S7" s="605">
        <v>12.4</v>
      </c>
      <c r="T7" s="605">
        <v>12</v>
      </c>
      <c r="U7" s="605">
        <v>11.6</v>
      </c>
      <c r="V7" s="605">
        <v>11.7</v>
      </c>
      <c r="W7" s="605">
        <v>11.9</v>
      </c>
      <c r="X7" s="605">
        <v>12.2</v>
      </c>
      <c r="Y7" s="605">
        <v>12.3</v>
      </c>
      <c r="Z7" s="605">
        <v>12.2</v>
      </c>
      <c r="AA7" s="605">
        <v>12.5</v>
      </c>
      <c r="AB7" s="605">
        <v>12.4</v>
      </c>
      <c r="AC7" s="605">
        <v>12.1</v>
      </c>
      <c r="AD7" s="605">
        <v>12.1</v>
      </c>
      <c r="AE7" s="605">
        <v>12</v>
      </c>
      <c r="AF7" s="806">
        <v>12</v>
      </c>
      <c r="AG7" s="806">
        <v>12.1</v>
      </c>
      <c r="AH7" s="892">
        <v>11.5</v>
      </c>
      <c r="AI7" s="893">
        <v>11.2</v>
      </c>
      <c r="AJ7" s="893">
        <v>11.6</v>
      </c>
      <c r="AK7" s="893">
        <v>11</v>
      </c>
    </row>
    <row r="8" spans="1:37" s="23" customFormat="1" ht="12.75">
      <c r="A8" s="22" t="s">
        <v>5</v>
      </c>
      <c r="B8" s="22" t="s">
        <v>6</v>
      </c>
      <c r="C8" s="605">
        <v>8.4</v>
      </c>
      <c r="D8" s="605">
        <v>8.5</v>
      </c>
      <c r="E8" s="605">
        <v>8.8000000000000007</v>
      </c>
      <c r="F8" s="605">
        <v>8.8000000000000007</v>
      </c>
      <c r="G8" s="605">
        <v>8.8000000000000007</v>
      </c>
      <c r="H8" s="605">
        <v>8.8000000000000007</v>
      </c>
      <c r="I8" s="605">
        <v>8.8000000000000007</v>
      </c>
      <c r="J8" s="605">
        <v>8.8000000000000007</v>
      </c>
      <c r="K8" s="605">
        <v>8.8000000000000007</v>
      </c>
      <c r="L8" s="605">
        <v>9</v>
      </c>
      <c r="M8" s="605">
        <v>9.1999999999999993</v>
      </c>
      <c r="N8" s="605">
        <v>9.3000000000000007</v>
      </c>
      <c r="O8" s="605">
        <v>9.5</v>
      </c>
      <c r="P8" s="605">
        <v>9.4</v>
      </c>
      <c r="Q8" s="605">
        <v>9.6999999999999993</v>
      </c>
      <c r="R8" s="605">
        <v>9.8000000000000007</v>
      </c>
      <c r="S8" s="605">
        <v>9.9</v>
      </c>
      <c r="T8" s="605">
        <v>9.8000000000000007</v>
      </c>
      <c r="U8" s="605">
        <v>9.6999999999999993</v>
      </c>
      <c r="V8" s="605">
        <v>9.6999999999999993</v>
      </c>
      <c r="W8" s="605">
        <v>9.9</v>
      </c>
      <c r="X8" s="605">
        <v>10</v>
      </c>
      <c r="Y8" s="605">
        <v>10.1</v>
      </c>
      <c r="Z8" s="605">
        <v>10.1</v>
      </c>
      <c r="AA8" s="605">
        <v>10.3</v>
      </c>
      <c r="AB8" s="605">
        <v>10.199999999999999</v>
      </c>
      <c r="AC8" s="605">
        <v>9.9</v>
      </c>
      <c r="AD8" s="605">
        <v>9.9</v>
      </c>
      <c r="AE8" s="605">
        <v>9.8000000000000007</v>
      </c>
      <c r="AF8" s="806">
        <v>9.8000000000000007</v>
      </c>
      <c r="AG8" s="806">
        <v>9.6999999999999993</v>
      </c>
      <c r="AH8" s="892">
        <v>9.4</v>
      </c>
      <c r="AI8" s="893">
        <v>9.1999999999999993</v>
      </c>
      <c r="AJ8" s="893">
        <v>9.4</v>
      </c>
      <c r="AK8" s="893">
        <v>8.8000000000000007</v>
      </c>
    </row>
    <row r="9" spans="1:37" s="23" customFormat="1" ht="12.75">
      <c r="A9" s="27" t="s">
        <v>87</v>
      </c>
      <c r="B9" s="22" t="s">
        <v>1726</v>
      </c>
      <c r="C9" s="605">
        <v>15.8</v>
      </c>
      <c r="D9" s="605">
        <v>15.4</v>
      </c>
      <c r="E9" s="605">
        <v>15.6</v>
      </c>
      <c r="F9" s="605">
        <v>15.4</v>
      </c>
      <c r="G9" s="605">
        <v>15.3</v>
      </c>
      <c r="H9" s="605">
        <v>15.2</v>
      </c>
      <c r="I9" s="605">
        <v>14.9</v>
      </c>
      <c r="J9" s="605">
        <v>14.9</v>
      </c>
      <c r="K9" s="605">
        <v>15</v>
      </c>
      <c r="L9" s="605">
        <v>15.1</v>
      </c>
      <c r="M9" s="605">
        <v>15.4</v>
      </c>
      <c r="N9" s="605">
        <v>15.7</v>
      </c>
      <c r="O9" s="605">
        <v>16.100000000000001</v>
      </c>
      <c r="P9" s="605">
        <v>16.3</v>
      </c>
      <c r="Q9" s="605">
        <v>16.899999999999999</v>
      </c>
      <c r="R9" s="605">
        <v>17.2</v>
      </c>
      <c r="S9" s="605">
        <v>17.2</v>
      </c>
      <c r="T9" s="605">
        <v>16.899999999999999</v>
      </c>
      <c r="U9" s="605">
        <v>16.5</v>
      </c>
      <c r="V9" s="605">
        <v>16.5</v>
      </c>
      <c r="W9" s="605">
        <v>16.5</v>
      </c>
      <c r="X9" s="605">
        <v>16.5</v>
      </c>
      <c r="Y9" s="605">
        <v>16.600000000000001</v>
      </c>
      <c r="Z9" s="605">
        <v>16.399999999999999</v>
      </c>
      <c r="AA9" s="605">
        <v>16.5</v>
      </c>
      <c r="AB9" s="605">
        <v>16.3</v>
      </c>
      <c r="AC9" s="605">
        <v>15.8</v>
      </c>
      <c r="AD9" s="605">
        <v>15.8</v>
      </c>
      <c r="AE9" s="605">
        <v>15.4</v>
      </c>
      <c r="AF9" s="806">
        <v>15.3</v>
      </c>
      <c r="AG9" s="806">
        <v>15</v>
      </c>
      <c r="AH9" s="892">
        <v>14.6</v>
      </c>
      <c r="AI9" s="893">
        <v>14.6</v>
      </c>
      <c r="AJ9" s="893">
        <v>14.6</v>
      </c>
      <c r="AK9" s="893">
        <v>13.5</v>
      </c>
    </row>
    <row r="10" spans="1:37" s="23" customFormat="1" ht="12.75">
      <c r="A10" s="22" t="s">
        <v>7</v>
      </c>
      <c r="B10" s="22" t="s">
        <v>8</v>
      </c>
      <c r="C10" s="605">
        <v>7.9</v>
      </c>
      <c r="D10" s="605">
        <v>7.8</v>
      </c>
      <c r="E10" s="605">
        <v>8</v>
      </c>
      <c r="F10" s="605">
        <v>7.7</v>
      </c>
      <c r="G10" s="605">
        <v>7.5</v>
      </c>
      <c r="H10" s="605">
        <v>7.5</v>
      </c>
      <c r="I10" s="605">
        <v>7.4</v>
      </c>
      <c r="J10" s="605">
        <v>7.3</v>
      </c>
      <c r="K10" s="605">
        <v>7.3</v>
      </c>
      <c r="L10" s="605">
        <v>7.3</v>
      </c>
      <c r="M10" s="605">
        <v>7.4</v>
      </c>
      <c r="N10" s="605">
        <v>7.5</v>
      </c>
      <c r="O10" s="605">
        <v>7.7</v>
      </c>
      <c r="P10" s="605">
        <v>7.6</v>
      </c>
      <c r="Q10" s="605">
        <v>8</v>
      </c>
      <c r="R10" s="605">
        <v>8.1</v>
      </c>
      <c r="S10" s="605">
        <v>8.1</v>
      </c>
      <c r="T10" s="605">
        <v>7.9</v>
      </c>
      <c r="U10" s="605">
        <v>7.8</v>
      </c>
      <c r="V10" s="605">
        <v>7.8</v>
      </c>
      <c r="W10" s="605">
        <v>7.9</v>
      </c>
      <c r="X10" s="605">
        <v>8</v>
      </c>
      <c r="Y10" s="605">
        <v>8.1</v>
      </c>
      <c r="Z10" s="605">
        <v>8.1999999999999993</v>
      </c>
      <c r="AA10" s="605">
        <v>8.4</v>
      </c>
      <c r="AB10" s="605">
        <v>8.4</v>
      </c>
      <c r="AC10" s="605">
        <v>8.1999999999999993</v>
      </c>
      <c r="AD10" s="605">
        <v>8.3000000000000007</v>
      </c>
      <c r="AE10" s="605">
        <v>8.1</v>
      </c>
      <c r="AF10" s="806">
        <v>8</v>
      </c>
      <c r="AG10" s="806">
        <v>8</v>
      </c>
      <c r="AH10" s="892">
        <v>7.7</v>
      </c>
      <c r="AI10" s="893">
        <v>7.7</v>
      </c>
      <c r="AJ10" s="893">
        <v>7.8</v>
      </c>
      <c r="AK10" s="893">
        <v>7.2</v>
      </c>
    </row>
    <row r="11" spans="1:37" s="23" customFormat="1" ht="12.75">
      <c r="A11" s="22" t="s">
        <v>9</v>
      </c>
      <c r="B11" s="22" t="s">
        <v>10</v>
      </c>
      <c r="C11" s="605">
        <v>10.1</v>
      </c>
      <c r="D11" s="605">
        <v>10.1</v>
      </c>
      <c r="E11" s="605">
        <v>10.6</v>
      </c>
      <c r="F11" s="605">
        <v>10.4</v>
      </c>
      <c r="G11" s="605">
        <v>10.5</v>
      </c>
      <c r="H11" s="605">
        <v>10.4</v>
      </c>
      <c r="I11" s="605">
        <v>10.4</v>
      </c>
      <c r="J11" s="605">
        <v>10.3</v>
      </c>
      <c r="K11" s="605">
        <v>10.199999999999999</v>
      </c>
      <c r="L11" s="605">
        <v>10.3</v>
      </c>
      <c r="M11" s="605">
        <v>10.4</v>
      </c>
      <c r="N11" s="605">
        <v>10.6</v>
      </c>
      <c r="O11" s="605">
        <v>10.8</v>
      </c>
      <c r="P11" s="605">
        <v>10.7</v>
      </c>
      <c r="Q11" s="605">
        <v>11</v>
      </c>
      <c r="R11" s="605">
        <v>11.2</v>
      </c>
      <c r="S11" s="605">
        <v>11.3</v>
      </c>
      <c r="T11" s="605">
        <v>11.1</v>
      </c>
      <c r="U11" s="605">
        <v>10.9</v>
      </c>
      <c r="V11" s="605">
        <v>10.9</v>
      </c>
      <c r="W11" s="605">
        <v>11</v>
      </c>
      <c r="X11" s="605">
        <v>11.1</v>
      </c>
      <c r="Y11" s="605">
        <v>11.2</v>
      </c>
      <c r="Z11" s="605">
        <v>11.1</v>
      </c>
      <c r="AA11" s="605">
        <v>11.2</v>
      </c>
      <c r="AB11" s="605">
        <v>11.1</v>
      </c>
      <c r="AC11" s="605">
        <v>10.8</v>
      </c>
      <c r="AD11" s="605">
        <v>10.7</v>
      </c>
      <c r="AE11" s="605">
        <v>10.5</v>
      </c>
      <c r="AF11" s="806">
        <v>10.5</v>
      </c>
      <c r="AG11" s="806">
        <v>10.5</v>
      </c>
      <c r="AH11" s="892">
        <v>10.199999999999999</v>
      </c>
      <c r="AI11" s="893">
        <v>10.1</v>
      </c>
      <c r="AJ11" s="893">
        <v>10.4</v>
      </c>
      <c r="AK11" s="893">
        <v>9.5</v>
      </c>
    </row>
    <row r="12" spans="1:37" s="23" customFormat="1" ht="12.75">
      <c r="A12" s="22" t="s">
        <v>11</v>
      </c>
      <c r="B12" s="22" t="s">
        <v>12</v>
      </c>
      <c r="C12" s="605">
        <v>8.3000000000000007</v>
      </c>
      <c r="D12" s="605">
        <v>8.3000000000000007</v>
      </c>
      <c r="E12" s="605">
        <v>8.6999999999999993</v>
      </c>
      <c r="F12" s="605">
        <v>8.5</v>
      </c>
      <c r="G12" s="605">
        <v>8.4</v>
      </c>
      <c r="H12" s="605">
        <v>8.1999999999999993</v>
      </c>
      <c r="I12" s="605">
        <v>8.1999999999999993</v>
      </c>
      <c r="J12" s="605">
        <v>8.1</v>
      </c>
      <c r="K12" s="605">
        <v>8.1</v>
      </c>
      <c r="L12" s="605">
        <v>8.3000000000000007</v>
      </c>
      <c r="M12" s="605">
        <v>8.4</v>
      </c>
      <c r="N12" s="605">
        <v>8.5</v>
      </c>
      <c r="O12" s="605">
        <v>8.8000000000000007</v>
      </c>
      <c r="P12" s="605">
        <v>8.8000000000000007</v>
      </c>
      <c r="Q12" s="605">
        <v>9.1</v>
      </c>
      <c r="R12" s="605">
        <v>9.3000000000000007</v>
      </c>
      <c r="S12" s="605">
        <v>9.4</v>
      </c>
      <c r="T12" s="605">
        <v>9.1999999999999993</v>
      </c>
      <c r="U12" s="605">
        <v>9</v>
      </c>
      <c r="V12" s="605">
        <v>9.1</v>
      </c>
      <c r="W12" s="605">
        <v>9.1</v>
      </c>
      <c r="X12" s="605">
        <v>9.1999999999999993</v>
      </c>
      <c r="Y12" s="605">
        <v>9.3000000000000007</v>
      </c>
      <c r="Z12" s="605">
        <v>9.1999999999999993</v>
      </c>
      <c r="AA12" s="605">
        <v>9.4</v>
      </c>
      <c r="AB12" s="605">
        <v>9.3000000000000007</v>
      </c>
      <c r="AC12" s="605">
        <v>9.1</v>
      </c>
      <c r="AD12" s="605">
        <v>9.1</v>
      </c>
      <c r="AE12" s="605">
        <v>8.9</v>
      </c>
      <c r="AF12" s="806">
        <v>8.9</v>
      </c>
      <c r="AG12" s="806">
        <v>8.9</v>
      </c>
      <c r="AH12" s="892">
        <v>8.5</v>
      </c>
      <c r="AI12" s="893">
        <v>8.4</v>
      </c>
      <c r="AJ12" s="893">
        <v>8.6999999999999993</v>
      </c>
      <c r="AK12" s="893">
        <v>7.9</v>
      </c>
    </row>
    <row r="13" spans="1:37" s="23" customFormat="1" ht="12.75">
      <c r="A13" s="22" t="s">
        <v>13</v>
      </c>
      <c r="B13" s="22" t="s">
        <v>1093</v>
      </c>
      <c r="C13" s="605">
        <v>11.5</v>
      </c>
      <c r="D13" s="605">
        <v>11.6</v>
      </c>
      <c r="E13" s="605">
        <v>12</v>
      </c>
      <c r="F13" s="605">
        <v>11.9</v>
      </c>
      <c r="G13" s="605">
        <v>11.9</v>
      </c>
      <c r="H13" s="605">
        <v>11.9</v>
      </c>
      <c r="I13" s="605">
        <v>12</v>
      </c>
      <c r="J13" s="605">
        <v>12.1</v>
      </c>
      <c r="K13" s="605">
        <v>12.1</v>
      </c>
      <c r="L13" s="605">
        <v>12.2</v>
      </c>
      <c r="M13" s="605">
        <v>12.3</v>
      </c>
      <c r="N13" s="605">
        <v>12.3</v>
      </c>
      <c r="O13" s="605">
        <v>12.5</v>
      </c>
      <c r="P13" s="605">
        <v>12.4</v>
      </c>
      <c r="Q13" s="605">
        <v>12.6</v>
      </c>
      <c r="R13" s="605">
        <v>12.8</v>
      </c>
      <c r="S13" s="605">
        <v>12.9</v>
      </c>
      <c r="T13" s="605">
        <v>12.7</v>
      </c>
      <c r="U13" s="605">
        <v>12.5</v>
      </c>
      <c r="V13" s="605">
        <v>12.5</v>
      </c>
      <c r="W13" s="605">
        <v>12.5</v>
      </c>
      <c r="X13" s="605">
        <v>12.6</v>
      </c>
      <c r="Y13" s="605">
        <v>12.7</v>
      </c>
      <c r="Z13" s="605">
        <v>12.5</v>
      </c>
      <c r="AA13" s="605">
        <v>12.8</v>
      </c>
      <c r="AB13" s="605">
        <v>12.6</v>
      </c>
      <c r="AC13" s="605">
        <v>12.4</v>
      </c>
      <c r="AD13" s="605">
        <v>12.4</v>
      </c>
      <c r="AE13" s="605">
        <v>12.2</v>
      </c>
      <c r="AF13" s="806">
        <v>12.2</v>
      </c>
      <c r="AG13" s="806">
        <v>12.5</v>
      </c>
      <c r="AH13" s="892">
        <v>12</v>
      </c>
      <c r="AI13" s="893">
        <v>11.9</v>
      </c>
      <c r="AJ13" s="893">
        <v>12.3</v>
      </c>
      <c r="AK13" s="893">
        <v>11.4</v>
      </c>
    </row>
    <row r="14" spans="1:37" s="23" customFormat="1" ht="12.75">
      <c r="A14" s="22" t="s">
        <v>14</v>
      </c>
      <c r="B14" s="22" t="s">
        <v>15</v>
      </c>
      <c r="C14" s="605">
        <v>11.7</v>
      </c>
      <c r="D14" s="605">
        <v>11.6</v>
      </c>
      <c r="E14" s="605">
        <v>12</v>
      </c>
      <c r="F14" s="605">
        <v>11.8</v>
      </c>
      <c r="G14" s="605">
        <v>11.7</v>
      </c>
      <c r="H14" s="605">
        <v>11.6</v>
      </c>
      <c r="I14" s="605">
        <v>11.7</v>
      </c>
      <c r="J14" s="605">
        <v>11.8</v>
      </c>
      <c r="K14" s="605">
        <v>11.9</v>
      </c>
      <c r="L14" s="605">
        <v>12.1</v>
      </c>
      <c r="M14" s="605">
        <v>12.3</v>
      </c>
      <c r="N14" s="605">
        <v>12.5</v>
      </c>
      <c r="O14" s="605">
        <v>12.9</v>
      </c>
      <c r="P14" s="605">
        <v>12.8</v>
      </c>
      <c r="Q14" s="605">
        <v>13.2</v>
      </c>
      <c r="R14" s="605">
        <v>13.6</v>
      </c>
      <c r="S14" s="605">
        <v>13.9</v>
      </c>
      <c r="T14" s="605">
        <v>13.6</v>
      </c>
      <c r="U14" s="605">
        <v>13.4</v>
      </c>
      <c r="V14" s="605">
        <v>13.5</v>
      </c>
      <c r="W14" s="605">
        <v>13.5</v>
      </c>
      <c r="X14" s="605">
        <v>13.6</v>
      </c>
      <c r="Y14" s="605">
        <v>13.6</v>
      </c>
      <c r="Z14" s="605">
        <v>13.5</v>
      </c>
      <c r="AA14" s="605">
        <v>13.7</v>
      </c>
      <c r="AB14" s="605">
        <v>13.5</v>
      </c>
      <c r="AC14" s="605">
        <v>13</v>
      </c>
      <c r="AD14" s="605">
        <v>13.1</v>
      </c>
      <c r="AE14" s="605">
        <v>12.9</v>
      </c>
      <c r="AF14" s="806">
        <v>13</v>
      </c>
      <c r="AG14" s="806">
        <v>13</v>
      </c>
      <c r="AH14" s="892">
        <v>12.5</v>
      </c>
      <c r="AI14" s="893">
        <v>12.2</v>
      </c>
      <c r="AJ14" s="893">
        <v>12.5</v>
      </c>
      <c r="AK14" s="893">
        <v>11.7</v>
      </c>
    </row>
    <row r="15" spans="1:37" s="23" customFormat="1" ht="12.75">
      <c r="A15" s="22" t="s">
        <v>16</v>
      </c>
      <c r="B15" s="22" t="s">
        <v>17</v>
      </c>
      <c r="C15" s="605">
        <v>7.5</v>
      </c>
      <c r="D15" s="605">
        <v>7.6</v>
      </c>
      <c r="E15" s="605">
        <v>7.9</v>
      </c>
      <c r="F15" s="605">
        <v>7.8</v>
      </c>
      <c r="G15" s="605">
        <v>7.6</v>
      </c>
      <c r="H15" s="605">
        <v>7.4</v>
      </c>
      <c r="I15" s="605">
        <v>7.3</v>
      </c>
      <c r="J15" s="605">
        <v>7.2</v>
      </c>
      <c r="K15" s="605">
        <v>7.1</v>
      </c>
      <c r="L15" s="605">
        <v>7.2</v>
      </c>
      <c r="M15" s="605">
        <v>7.2</v>
      </c>
      <c r="N15" s="605">
        <v>7.4</v>
      </c>
      <c r="O15" s="605">
        <v>7.5</v>
      </c>
      <c r="P15" s="605">
        <v>7.5</v>
      </c>
      <c r="Q15" s="605">
        <v>7.7</v>
      </c>
      <c r="R15" s="605">
        <v>8</v>
      </c>
      <c r="S15" s="605">
        <v>8.1999999999999993</v>
      </c>
      <c r="T15" s="605">
        <v>8.1</v>
      </c>
      <c r="U15" s="605">
        <v>8</v>
      </c>
      <c r="V15" s="605">
        <v>8.1</v>
      </c>
      <c r="W15" s="605">
        <v>8.1999999999999993</v>
      </c>
      <c r="X15" s="605">
        <v>8.3000000000000007</v>
      </c>
      <c r="Y15" s="605">
        <v>8.5</v>
      </c>
      <c r="Z15" s="605">
        <v>8.5</v>
      </c>
      <c r="AA15" s="605">
        <v>8.6</v>
      </c>
      <c r="AB15" s="605">
        <v>8.5</v>
      </c>
      <c r="AC15" s="605">
        <v>8.3000000000000007</v>
      </c>
      <c r="AD15" s="605">
        <v>8.3000000000000007</v>
      </c>
      <c r="AE15" s="605">
        <v>7.9</v>
      </c>
      <c r="AF15" s="806">
        <v>7.9</v>
      </c>
      <c r="AG15" s="806">
        <v>7.8</v>
      </c>
      <c r="AH15" s="892">
        <v>7.5</v>
      </c>
      <c r="AI15" s="893">
        <v>7.3</v>
      </c>
      <c r="AJ15" s="893">
        <v>7.5</v>
      </c>
      <c r="AK15" s="893">
        <v>6.8</v>
      </c>
    </row>
    <row r="16" spans="1:37" s="23" customFormat="1" ht="12.75">
      <c r="A16" s="22" t="s">
        <v>18</v>
      </c>
      <c r="B16" s="22" t="s">
        <v>19</v>
      </c>
      <c r="C16" s="605">
        <v>8.1999999999999993</v>
      </c>
      <c r="D16" s="605">
        <v>8.3000000000000007</v>
      </c>
      <c r="E16" s="605">
        <v>8.6</v>
      </c>
      <c r="F16" s="605">
        <v>8.4</v>
      </c>
      <c r="G16" s="605">
        <v>8.1999999999999993</v>
      </c>
      <c r="H16" s="605">
        <v>8.1999999999999993</v>
      </c>
      <c r="I16" s="605">
        <v>8.1999999999999993</v>
      </c>
      <c r="J16" s="605">
        <v>8.3000000000000007</v>
      </c>
      <c r="K16" s="605">
        <v>8.3000000000000007</v>
      </c>
      <c r="L16" s="605">
        <v>8.6</v>
      </c>
      <c r="M16" s="605">
        <v>8.8000000000000007</v>
      </c>
      <c r="N16" s="605">
        <v>9</v>
      </c>
      <c r="O16" s="605">
        <v>9.1999999999999993</v>
      </c>
      <c r="P16" s="605">
        <v>9.1999999999999993</v>
      </c>
      <c r="Q16" s="605">
        <v>9.6999999999999993</v>
      </c>
      <c r="R16" s="605">
        <v>9.9</v>
      </c>
      <c r="S16" s="605">
        <v>10.199999999999999</v>
      </c>
      <c r="T16" s="605">
        <v>10.199999999999999</v>
      </c>
      <c r="U16" s="605">
        <v>10.1</v>
      </c>
      <c r="V16" s="605">
        <v>10.199999999999999</v>
      </c>
      <c r="W16" s="605">
        <v>10.4</v>
      </c>
      <c r="X16" s="605">
        <v>10.6</v>
      </c>
      <c r="Y16" s="605">
        <v>10.7</v>
      </c>
      <c r="Z16" s="605">
        <v>10.7</v>
      </c>
      <c r="AA16" s="605">
        <v>11</v>
      </c>
      <c r="AB16" s="605">
        <v>10.9</v>
      </c>
      <c r="AC16" s="605">
        <v>10.6</v>
      </c>
      <c r="AD16" s="605">
        <v>10.7</v>
      </c>
      <c r="AE16" s="605">
        <v>10.5</v>
      </c>
      <c r="AF16" s="806">
        <v>10.5</v>
      </c>
      <c r="AG16" s="806">
        <v>10.7</v>
      </c>
      <c r="AH16" s="892">
        <v>10.3</v>
      </c>
      <c r="AI16" s="893">
        <v>10.1</v>
      </c>
      <c r="AJ16" s="893">
        <v>10.3</v>
      </c>
      <c r="AK16" s="893">
        <v>9.6</v>
      </c>
    </row>
    <row r="17" spans="1:60" s="23" customFormat="1" ht="12.75">
      <c r="A17" s="22" t="s">
        <v>20</v>
      </c>
      <c r="B17" s="22" t="s">
        <v>21</v>
      </c>
      <c r="C17" s="605">
        <v>6.9</v>
      </c>
      <c r="D17" s="605">
        <v>6.8</v>
      </c>
      <c r="E17" s="605">
        <v>7.1</v>
      </c>
      <c r="F17" s="605">
        <v>7</v>
      </c>
      <c r="G17" s="605">
        <v>6.8</v>
      </c>
      <c r="H17" s="605">
        <v>6.7</v>
      </c>
      <c r="I17" s="605">
        <v>6.7</v>
      </c>
      <c r="J17" s="605">
        <v>6.6</v>
      </c>
      <c r="K17" s="605">
        <v>6.6</v>
      </c>
      <c r="L17" s="605">
        <v>6.7</v>
      </c>
      <c r="M17" s="605">
        <v>6.9</v>
      </c>
      <c r="N17" s="605">
        <v>7.1</v>
      </c>
      <c r="O17" s="605">
        <v>7.4</v>
      </c>
      <c r="P17" s="605">
        <v>7.6</v>
      </c>
      <c r="Q17" s="605">
        <v>8</v>
      </c>
      <c r="R17" s="605">
        <v>8.1</v>
      </c>
      <c r="S17" s="605">
        <v>8.1999999999999993</v>
      </c>
      <c r="T17" s="605">
        <v>8</v>
      </c>
      <c r="U17" s="605">
        <v>7.8</v>
      </c>
      <c r="V17" s="605">
        <v>7.8</v>
      </c>
      <c r="W17" s="605">
        <v>7.9</v>
      </c>
      <c r="X17" s="605">
        <v>8</v>
      </c>
      <c r="Y17" s="605">
        <v>8.1999999999999993</v>
      </c>
      <c r="Z17" s="605">
        <v>8</v>
      </c>
      <c r="AA17" s="605">
        <v>8.1</v>
      </c>
      <c r="AB17" s="605">
        <v>8.1</v>
      </c>
      <c r="AC17" s="605">
        <v>7.9</v>
      </c>
      <c r="AD17" s="605">
        <v>8</v>
      </c>
      <c r="AE17" s="605">
        <v>7.8</v>
      </c>
      <c r="AF17" s="806">
        <v>7.7</v>
      </c>
      <c r="AG17" s="806">
        <v>7.7</v>
      </c>
      <c r="AH17" s="892">
        <v>7.3</v>
      </c>
      <c r="AI17" s="893">
        <v>7.1</v>
      </c>
      <c r="AJ17" s="893">
        <v>7.3</v>
      </c>
      <c r="AK17" s="893">
        <v>6.5</v>
      </c>
    </row>
    <row r="18" spans="1:60" s="23" customFormat="1" ht="12.75">
      <c r="A18" s="22" t="s">
        <v>22</v>
      </c>
      <c r="B18" s="22" t="s">
        <v>23</v>
      </c>
      <c r="C18" s="605">
        <v>9.5</v>
      </c>
      <c r="D18" s="605">
        <v>9.5</v>
      </c>
      <c r="E18" s="605">
        <v>9.8000000000000007</v>
      </c>
      <c r="F18" s="605">
        <v>9.6999999999999993</v>
      </c>
      <c r="G18" s="605">
        <v>9.6</v>
      </c>
      <c r="H18" s="605">
        <v>9.5</v>
      </c>
      <c r="I18" s="605">
        <v>9.4</v>
      </c>
      <c r="J18" s="605">
        <v>9.4</v>
      </c>
      <c r="K18" s="605">
        <v>9.4</v>
      </c>
      <c r="L18" s="605">
        <v>9.6</v>
      </c>
      <c r="M18" s="605">
        <v>9.6</v>
      </c>
      <c r="N18" s="605">
        <v>9.9</v>
      </c>
      <c r="O18" s="605">
        <v>10</v>
      </c>
      <c r="P18" s="605">
        <v>10.199999999999999</v>
      </c>
      <c r="Q18" s="605">
        <v>10.6</v>
      </c>
      <c r="R18" s="605">
        <v>10.8</v>
      </c>
      <c r="S18" s="605">
        <v>11</v>
      </c>
      <c r="T18" s="605">
        <v>10.7</v>
      </c>
      <c r="U18" s="605">
        <v>10.6</v>
      </c>
      <c r="V18" s="605">
        <v>10.7</v>
      </c>
      <c r="W18" s="605">
        <v>10.7</v>
      </c>
      <c r="X18" s="605">
        <v>10.8</v>
      </c>
      <c r="Y18" s="605">
        <v>10.8</v>
      </c>
      <c r="Z18" s="605">
        <v>10.7</v>
      </c>
      <c r="AA18" s="605">
        <v>10.9</v>
      </c>
      <c r="AB18" s="605">
        <v>10.8</v>
      </c>
      <c r="AC18" s="605">
        <v>10.5</v>
      </c>
      <c r="AD18" s="605">
        <v>10.8</v>
      </c>
      <c r="AE18" s="605">
        <v>10.6</v>
      </c>
      <c r="AF18" s="806">
        <v>10.5</v>
      </c>
      <c r="AG18" s="806">
        <v>10.5</v>
      </c>
      <c r="AH18" s="892">
        <v>10.1</v>
      </c>
      <c r="AI18" s="893">
        <v>10</v>
      </c>
      <c r="AJ18" s="893">
        <v>10.199999999999999</v>
      </c>
      <c r="AK18" s="893">
        <v>9.3000000000000007</v>
      </c>
    </row>
    <row r="19" spans="1:60" s="23" customFormat="1" ht="12.75">
      <c r="A19" s="22" t="s">
        <v>24</v>
      </c>
      <c r="B19" s="22" t="s">
        <v>25</v>
      </c>
      <c r="C19" s="605">
        <v>9.3000000000000007</v>
      </c>
      <c r="D19" s="605">
        <v>9.4</v>
      </c>
      <c r="E19" s="605">
        <v>9.8000000000000007</v>
      </c>
      <c r="F19" s="605">
        <v>9.6</v>
      </c>
      <c r="G19" s="605">
        <v>9.5</v>
      </c>
      <c r="H19" s="605">
        <v>9.3000000000000007</v>
      </c>
      <c r="I19" s="605">
        <v>9.3000000000000007</v>
      </c>
      <c r="J19" s="605">
        <v>9.1</v>
      </c>
      <c r="K19" s="605">
        <v>9</v>
      </c>
      <c r="L19" s="605">
        <v>9.1999999999999993</v>
      </c>
      <c r="M19" s="605">
        <v>9.1999999999999993</v>
      </c>
      <c r="N19" s="605">
        <v>9.4</v>
      </c>
      <c r="O19" s="605">
        <v>9.6</v>
      </c>
      <c r="P19" s="605">
        <v>9.6</v>
      </c>
      <c r="Q19" s="605">
        <v>9.9</v>
      </c>
      <c r="R19" s="605">
        <v>10.199999999999999</v>
      </c>
      <c r="S19" s="605">
        <v>10.3</v>
      </c>
      <c r="T19" s="605">
        <v>10.1</v>
      </c>
      <c r="U19" s="605">
        <v>10</v>
      </c>
      <c r="V19" s="605">
        <v>10</v>
      </c>
      <c r="W19" s="605">
        <v>10.1</v>
      </c>
      <c r="X19" s="605">
        <v>10.3</v>
      </c>
      <c r="Y19" s="605">
        <v>10.5</v>
      </c>
      <c r="Z19" s="605">
        <v>10.3</v>
      </c>
      <c r="AA19" s="605">
        <v>10.6</v>
      </c>
      <c r="AB19" s="605">
        <v>10.5</v>
      </c>
      <c r="AC19" s="605">
        <v>10.199999999999999</v>
      </c>
      <c r="AD19" s="605">
        <v>10.199999999999999</v>
      </c>
      <c r="AE19" s="605">
        <v>10.1</v>
      </c>
      <c r="AF19" s="806">
        <v>10.1</v>
      </c>
      <c r="AG19" s="806">
        <v>10</v>
      </c>
      <c r="AH19" s="892">
        <v>9.8000000000000007</v>
      </c>
      <c r="AI19" s="893">
        <v>9.6</v>
      </c>
      <c r="AJ19" s="893">
        <v>9.9</v>
      </c>
      <c r="AK19" s="893">
        <v>9.1</v>
      </c>
    </row>
    <row r="20" spans="1:60" s="23" customFormat="1" ht="12.75">
      <c r="A20" s="22" t="s">
        <v>51</v>
      </c>
      <c r="B20" s="22" t="s">
        <v>55</v>
      </c>
      <c r="C20" s="605">
        <v>9.9</v>
      </c>
      <c r="D20" s="605">
        <v>9.6999999999999993</v>
      </c>
      <c r="E20" s="605">
        <v>9.9</v>
      </c>
      <c r="F20" s="605">
        <v>9.6999999999999993</v>
      </c>
      <c r="G20" s="605">
        <v>9.6</v>
      </c>
      <c r="H20" s="605">
        <v>9.6</v>
      </c>
      <c r="I20" s="605">
        <v>9.6</v>
      </c>
      <c r="J20" s="605">
        <v>9.8000000000000007</v>
      </c>
      <c r="K20" s="605">
        <v>9.9</v>
      </c>
      <c r="L20" s="605">
        <v>10</v>
      </c>
      <c r="M20" s="605">
        <v>10.1</v>
      </c>
      <c r="N20" s="605">
        <v>10.1</v>
      </c>
      <c r="O20" s="605">
        <v>10.4</v>
      </c>
      <c r="P20" s="605">
        <v>10.199999999999999</v>
      </c>
      <c r="Q20" s="605">
        <v>10.6</v>
      </c>
      <c r="R20" s="605">
        <v>10.7</v>
      </c>
      <c r="S20" s="605">
        <v>10.9</v>
      </c>
      <c r="T20" s="605">
        <v>10.7</v>
      </c>
      <c r="U20" s="605">
        <v>10.7</v>
      </c>
      <c r="V20" s="605">
        <v>10.7</v>
      </c>
      <c r="W20" s="605">
        <v>10.8</v>
      </c>
      <c r="X20" s="605">
        <v>11</v>
      </c>
      <c r="Y20" s="605">
        <v>11.1</v>
      </c>
      <c r="Z20" s="605">
        <v>10.9</v>
      </c>
      <c r="AA20" s="605">
        <v>11.2</v>
      </c>
      <c r="AB20" s="605">
        <v>11.1</v>
      </c>
      <c r="AC20" s="605">
        <v>10.9</v>
      </c>
      <c r="AD20" s="605">
        <v>10.8</v>
      </c>
      <c r="AE20" s="605">
        <v>10.5</v>
      </c>
      <c r="AF20" s="806">
        <v>10.5</v>
      </c>
      <c r="AG20" s="806">
        <v>10.6</v>
      </c>
      <c r="AH20" s="892">
        <v>10.199999999999999</v>
      </c>
      <c r="AI20" s="893">
        <v>10</v>
      </c>
      <c r="AJ20" s="893">
        <v>10.199999999999999</v>
      </c>
      <c r="AK20" s="893">
        <v>9.5</v>
      </c>
    </row>
    <row r="21" spans="1:60" s="23" customFormat="1" ht="12.75">
      <c r="A21" s="22" t="s">
        <v>26</v>
      </c>
      <c r="B21" s="22" t="s">
        <v>27</v>
      </c>
      <c r="C21" s="605">
        <v>8.8000000000000007</v>
      </c>
      <c r="D21" s="605">
        <v>8.8000000000000007</v>
      </c>
      <c r="E21" s="605">
        <v>8.9</v>
      </c>
      <c r="F21" s="605">
        <v>8.9</v>
      </c>
      <c r="G21" s="605">
        <v>9</v>
      </c>
      <c r="H21" s="605">
        <v>9</v>
      </c>
      <c r="I21" s="605">
        <v>8.9</v>
      </c>
      <c r="J21" s="605">
        <v>8.9</v>
      </c>
      <c r="K21" s="605">
        <v>8.9</v>
      </c>
      <c r="L21" s="605">
        <v>9</v>
      </c>
      <c r="M21" s="605">
        <v>9.1</v>
      </c>
      <c r="N21" s="605">
        <v>9.3000000000000007</v>
      </c>
      <c r="O21" s="605">
        <v>9.5</v>
      </c>
      <c r="P21" s="605">
        <v>9.6</v>
      </c>
      <c r="Q21" s="605">
        <v>9.8000000000000007</v>
      </c>
      <c r="R21" s="605">
        <v>10</v>
      </c>
      <c r="S21" s="605">
        <v>10.199999999999999</v>
      </c>
      <c r="T21" s="605">
        <v>10.1</v>
      </c>
      <c r="U21" s="605">
        <v>10.1</v>
      </c>
      <c r="V21" s="605">
        <v>10.1</v>
      </c>
      <c r="W21" s="605">
        <v>10.3</v>
      </c>
      <c r="X21" s="605">
        <v>10.4</v>
      </c>
      <c r="Y21" s="605">
        <v>10.6</v>
      </c>
      <c r="Z21" s="605">
        <v>10.4</v>
      </c>
      <c r="AA21" s="605">
        <v>10.6</v>
      </c>
      <c r="AB21" s="605">
        <v>10.5</v>
      </c>
      <c r="AC21" s="605">
        <v>10.199999999999999</v>
      </c>
      <c r="AD21" s="605">
        <v>10.199999999999999</v>
      </c>
      <c r="AE21" s="605">
        <v>10</v>
      </c>
      <c r="AF21" s="806">
        <v>9.9</v>
      </c>
      <c r="AG21" s="806">
        <v>9.6999999999999993</v>
      </c>
      <c r="AH21" s="892">
        <v>9.3000000000000007</v>
      </c>
      <c r="AI21" s="893">
        <v>9.1999999999999993</v>
      </c>
      <c r="AJ21" s="893">
        <v>9.4</v>
      </c>
      <c r="AK21" s="893">
        <v>8.4</v>
      </c>
    </row>
    <row r="22" spans="1:60" s="58" customFormat="1">
      <c r="B22" s="30" t="s">
        <v>1141</v>
      </c>
      <c r="C22" s="59">
        <v>8.8000000000000007</v>
      </c>
      <c r="D22" s="59">
        <v>8.8000000000000007</v>
      </c>
      <c r="E22" s="59">
        <v>9.1</v>
      </c>
      <c r="F22" s="59">
        <v>9</v>
      </c>
      <c r="G22" s="59">
        <v>8.9</v>
      </c>
      <c r="H22" s="59">
        <v>8.8000000000000007</v>
      </c>
      <c r="I22" s="59">
        <v>8.8000000000000007</v>
      </c>
      <c r="J22" s="59">
        <v>8.8000000000000007</v>
      </c>
      <c r="K22" s="59">
        <v>8.6999999999999993</v>
      </c>
      <c r="L22" s="59">
        <v>8.8000000000000007</v>
      </c>
      <c r="M22" s="59">
        <v>9</v>
      </c>
      <c r="N22" s="59">
        <v>9.1</v>
      </c>
      <c r="O22" s="59">
        <v>9.4</v>
      </c>
      <c r="P22" s="59">
        <v>9.4</v>
      </c>
      <c r="Q22" s="59">
        <v>9.6999999999999993</v>
      </c>
      <c r="R22" s="59">
        <v>9.9</v>
      </c>
      <c r="S22" s="59">
        <v>10.1</v>
      </c>
      <c r="T22" s="59">
        <v>9.9</v>
      </c>
      <c r="U22" s="59">
        <v>9.6999999999999993</v>
      </c>
      <c r="V22" s="59">
        <v>9.8000000000000007</v>
      </c>
      <c r="W22" s="59">
        <v>9.9</v>
      </c>
      <c r="X22" s="59">
        <v>10</v>
      </c>
      <c r="Y22" s="59">
        <v>10.1</v>
      </c>
      <c r="Z22" s="59">
        <v>10</v>
      </c>
      <c r="AA22" s="59">
        <v>10.199999999999999</v>
      </c>
      <c r="AB22" s="60">
        <v>10.1</v>
      </c>
      <c r="AC22" s="60">
        <v>9.9</v>
      </c>
      <c r="AD22" s="60">
        <v>9.9</v>
      </c>
      <c r="AE22" s="60">
        <v>9.6999999999999993</v>
      </c>
      <c r="AF22" s="807">
        <v>9.6999999999999993</v>
      </c>
      <c r="AG22" s="807">
        <v>9.6999999999999993</v>
      </c>
      <c r="AH22" s="894">
        <v>9.3000000000000007</v>
      </c>
      <c r="AI22" s="895">
        <v>9.1999999999999993</v>
      </c>
      <c r="AJ22" s="985">
        <v>9.2999999999999999E-2</v>
      </c>
      <c r="AK22" s="985">
        <v>8.6</v>
      </c>
    </row>
    <row r="23" spans="1:60" s="23" customFormat="1" ht="12.75">
      <c r="A23" s="22"/>
      <c r="B23" s="22"/>
      <c r="C23" s="647"/>
      <c r="D23" s="647"/>
      <c r="E23" s="647"/>
      <c r="F23" s="647"/>
      <c r="G23" s="647"/>
      <c r="H23" s="647"/>
      <c r="I23" s="647"/>
      <c r="J23" s="647"/>
      <c r="K23" s="647"/>
      <c r="L23" s="647"/>
      <c r="M23" s="647"/>
      <c r="N23" s="647"/>
      <c r="O23" s="647"/>
      <c r="P23" s="647"/>
      <c r="Q23" s="647"/>
      <c r="R23" s="647"/>
      <c r="S23" s="647"/>
      <c r="T23" s="647"/>
      <c r="U23" s="647"/>
      <c r="V23" s="647"/>
      <c r="W23" s="647"/>
      <c r="X23" s="647"/>
      <c r="Y23" s="647"/>
      <c r="Z23" s="647"/>
      <c r="AA23" s="647"/>
      <c r="AB23" s="647"/>
      <c r="AC23" s="647"/>
      <c r="AD23" s="647"/>
      <c r="AE23" s="647"/>
      <c r="AF23" s="647"/>
      <c r="AG23" s="647"/>
      <c r="AH23" s="647"/>
      <c r="AI23" s="647"/>
      <c r="AJ23" s="647"/>
    </row>
    <row r="24" spans="1:60" s="40" customFormat="1" ht="12.75">
      <c r="A24" s="41" t="s">
        <v>179</v>
      </c>
      <c r="B24" s="39"/>
    </row>
    <row r="25" spans="1:60" s="23" customFormat="1" ht="12.75">
      <c r="A25" s="22"/>
      <c r="B25" s="22"/>
    </row>
    <row r="26" spans="1:60" s="19" customFormat="1">
      <c r="A26" s="30" t="s">
        <v>1940</v>
      </c>
      <c r="G26" s="30" t="s">
        <v>74</v>
      </c>
      <c r="H26"/>
      <c r="I26"/>
      <c r="J26"/>
      <c r="K26"/>
      <c r="L26"/>
      <c r="M26" s="30" t="s">
        <v>114</v>
      </c>
      <c r="N26"/>
      <c r="O26"/>
      <c r="P26"/>
      <c r="Q26"/>
      <c r="R26"/>
      <c r="S26" s="30" t="s">
        <v>70</v>
      </c>
      <c r="T26"/>
      <c r="U26"/>
      <c r="V26"/>
      <c r="W26"/>
      <c r="AE26"/>
      <c r="AF26"/>
      <c r="AG26"/>
      <c r="AH26"/>
      <c r="AI26"/>
      <c r="AJ26"/>
      <c r="AK26"/>
      <c r="AL26"/>
      <c r="AM26"/>
      <c r="AN26"/>
      <c r="AO26"/>
      <c r="AP26"/>
      <c r="BG26" s="20"/>
      <c r="BH26" s="20"/>
    </row>
    <row r="27" spans="1:60" s="19" customFormat="1">
      <c r="A27" s="18" t="s">
        <v>111</v>
      </c>
      <c r="G27" s="18" t="s">
        <v>111</v>
      </c>
      <c r="H27"/>
      <c r="I27"/>
      <c r="J27"/>
      <c r="K27"/>
      <c r="L27"/>
      <c r="M27" s="18" t="s">
        <v>111</v>
      </c>
      <c r="N27"/>
      <c r="O27"/>
      <c r="P27"/>
      <c r="Q27"/>
      <c r="R27"/>
      <c r="S27" s="18" t="s">
        <v>111</v>
      </c>
      <c r="T27"/>
      <c r="U27"/>
      <c r="V27"/>
      <c r="W27"/>
      <c r="BG27" s="20"/>
      <c r="BH27" s="20"/>
    </row>
    <row r="28" spans="1:60" s="19" customFormat="1" ht="26.25">
      <c r="A28" s="945" t="s">
        <v>1941</v>
      </c>
      <c r="B28" s="945" t="s">
        <v>113</v>
      </c>
      <c r="C28" s="945" t="s">
        <v>1942</v>
      </c>
      <c r="D28" s="945" t="s">
        <v>1943</v>
      </c>
      <c r="E28" s="945" t="s">
        <v>91</v>
      </c>
      <c r="F28" s="946"/>
      <c r="G28" s="945" t="s">
        <v>112</v>
      </c>
      <c r="H28" s="947" t="s">
        <v>113</v>
      </c>
      <c r="I28" s="948" t="s">
        <v>636</v>
      </c>
      <c r="J28" s="948" t="s">
        <v>637</v>
      </c>
      <c r="K28" s="947" t="s">
        <v>91</v>
      </c>
      <c r="L28" s="945"/>
      <c r="M28" s="945" t="s">
        <v>112</v>
      </c>
      <c r="N28" s="947" t="s">
        <v>113</v>
      </c>
      <c r="O28" s="948" t="s">
        <v>636</v>
      </c>
      <c r="P28" s="948" t="s">
        <v>637</v>
      </c>
      <c r="Q28" s="947" t="s">
        <v>91</v>
      </c>
      <c r="R28" s="945"/>
      <c r="S28" s="945" t="s">
        <v>112</v>
      </c>
      <c r="T28" s="947" t="s">
        <v>113</v>
      </c>
      <c r="U28" s="948" t="s">
        <v>636</v>
      </c>
      <c r="V28" s="948" t="s">
        <v>637</v>
      </c>
      <c r="W28" s="947" t="s">
        <v>91</v>
      </c>
      <c r="BG28" s="20"/>
      <c r="BH28" s="20"/>
    </row>
    <row r="29" spans="1:60" s="19" customFormat="1">
      <c r="A29" s="945" t="s">
        <v>1985</v>
      </c>
      <c r="B29" s="945">
        <v>62061</v>
      </c>
      <c r="C29" s="945">
        <v>139314</v>
      </c>
      <c r="D29" s="945">
        <v>359823</v>
      </c>
      <c r="E29" s="945">
        <v>561198</v>
      </c>
      <c r="F29" s="946"/>
      <c r="G29" s="945" t="s">
        <v>1985</v>
      </c>
      <c r="H29" s="947">
        <v>41424</v>
      </c>
      <c r="I29" s="948">
        <v>85865</v>
      </c>
      <c r="J29" s="948">
        <v>223276</v>
      </c>
      <c r="K29" s="947">
        <v>350565</v>
      </c>
      <c r="L29" s="945"/>
      <c r="M29" s="945" t="s">
        <v>1985</v>
      </c>
      <c r="N29" s="947">
        <v>25798</v>
      </c>
      <c r="O29" s="948">
        <v>37967</v>
      </c>
      <c r="P29" s="948">
        <v>118295</v>
      </c>
      <c r="Q29" s="947">
        <v>182060</v>
      </c>
      <c r="R29" s="945"/>
      <c r="S29" s="945" t="s">
        <v>1985</v>
      </c>
      <c r="T29" s="947">
        <v>17719</v>
      </c>
      <c r="U29" s="948">
        <v>20630</v>
      </c>
      <c r="V29" s="948">
        <v>72985</v>
      </c>
      <c r="W29" s="947">
        <v>111334</v>
      </c>
      <c r="BG29" s="20"/>
      <c r="BH29" s="20"/>
    </row>
    <row r="30" spans="1:60" s="23" customFormat="1">
      <c r="A30" s="945" t="s">
        <v>1393</v>
      </c>
      <c r="B30" s="945">
        <v>57189</v>
      </c>
      <c r="C30" s="945">
        <v>62838</v>
      </c>
      <c r="D30" s="945">
        <v>321451</v>
      </c>
      <c r="E30" s="945">
        <v>441478</v>
      </c>
      <c r="F30" s="949"/>
      <c r="G30" s="945" t="s">
        <v>1393</v>
      </c>
      <c r="H30" s="945">
        <v>38085</v>
      </c>
      <c r="I30" s="945">
        <v>38238</v>
      </c>
      <c r="J30" s="945">
        <v>200044</v>
      </c>
      <c r="K30" s="945">
        <v>276367</v>
      </c>
      <c r="L30" s="945"/>
      <c r="M30" s="945" t="s">
        <v>1393</v>
      </c>
      <c r="N30" s="945">
        <v>23199</v>
      </c>
      <c r="O30" s="945">
        <v>19135</v>
      </c>
      <c r="P30" s="945">
        <v>114413</v>
      </c>
      <c r="Q30" s="945">
        <f>SUM(N30:P30)</f>
        <v>156747</v>
      </c>
      <c r="R30" s="945"/>
      <c r="S30" s="945" t="s">
        <v>1393</v>
      </c>
      <c r="T30" s="945">
        <v>16184</v>
      </c>
      <c r="U30" s="945">
        <v>12886</v>
      </c>
      <c r="V30" s="945">
        <v>76663</v>
      </c>
      <c r="W30" s="945">
        <f>SUM(T30:V30)</f>
        <v>105733</v>
      </c>
    </row>
    <row r="31" spans="1:60" s="19" customFormat="1">
      <c r="A31" s="945" t="s">
        <v>1736</v>
      </c>
      <c r="B31" s="945">
        <v>64223</v>
      </c>
      <c r="C31" s="945">
        <v>71644</v>
      </c>
      <c r="D31" s="945">
        <v>297184</v>
      </c>
      <c r="E31" s="945">
        <v>433051</v>
      </c>
      <c r="F31" s="946"/>
      <c r="G31" s="945" t="s">
        <v>1736</v>
      </c>
      <c r="H31" s="945">
        <v>42492</v>
      </c>
      <c r="I31" s="945">
        <v>42912</v>
      </c>
      <c r="J31" s="945">
        <v>184089</v>
      </c>
      <c r="K31" s="945">
        <v>269493</v>
      </c>
      <c r="L31" s="945"/>
      <c r="M31" s="945" t="s">
        <v>1736</v>
      </c>
      <c r="N31" s="945">
        <v>25917</v>
      </c>
      <c r="O31" s="945">
        <v>20481</v>
      </c>
      <c r="P31" s="945">
        <v>109643</v>
      </c>
      <c r="Q31" s="945">
        <f t="shared" ref="Q31:Q34" si="0">SUM(N31:P31)</f>
        <v>156041</v>
      </c>
      <c r="R31" s="945"/>
      <c r="S31" s="945" t="s">
        <v>1736</v>
      </c>
      <c r="T31" s="945">
        <v>17522</v>
      </c>
      <c r="U31" s="945">
        <v>12631</v>
      </c>
      <c r="V31" s="945">
        <v>76063</v>
      </c>
      <c r="W31" s="945">
        <f t="shared" ref="W31:W34" si="1">SUM(T31:V31)</f>
        <v>106216</v>
      </c>
      <c r="BG31" s="20"/>
      <c r="BH31" s="20"/>
    </row>
    <row r="32" spans="1:60" s="19" customFormat="1">
      <c r="A32" s="945" t="s">
        <v>1737</v>
      </c>
      <c r="B32" s="945">
        <v>60697</v>
      </c>
      <c r="C32" s="945">
        <v>100923</v>
      </c>
      <c r="D32" s="945">
        <v>355374</v>
      </c>
      <c r="E32" s="945">
        <v>516994</v>
      </c>
      <c r="F32" s="946"/>
      <c r="G32" s="945" t="s">
        <v>1737</v>
      </c>
      <c r="H32" s="945">
        <v>40251</v>
      </c>
      <c r="I32" s="945">
        <v>63529</v>
      </c>
      <c r="J32" s="945">
        <v>216373</v>
      </c>
      <c r="K32" s="945">
        <v>320153</v>
      </c>
      <c r="L32" s="945"/>
      <c r="M32" s="945" t="s">
        <v>1737</v>
      </c>
      <c r="N32" s="945">
        <v>24858</v>
      </c>
      <c r="O32" s="945">
        <v>27893</v>
      </c>
      <c r="P32" s="945">
        <v>125753</v>
      </c>
      <c r="Q32" s="945">
        <f t="shared" si="0"/>
        <v>178504</v>
      </c>
      <c r="R32" s="945"/>
      <c r="S32" s="945" t="s">
        <v>1737</v>
      </c>
      <c r="T32" s="945">
        <v>16696</v>
      </c>
      <c r="U32" s="945">
        <v>14043</v>
      </c>
      <c r="V32" s="945">
        <v>81991</v>
      </c>
      <c r="W32" s="945">
        <f t="shared" si="1"/>
        <v>112730</v>
      </c>
      <c r="BG32" s="20"/>
      <c r="BH32" s="20"/>
    </row>
    <row r="33" spans="1:60" s="19" customFormat="1">
      <c r="A33" s="945" t="s">
        <v>1944</v>
      </c>
      <c r="B33" s="945">
        <v>71578</v>
      </c>
      <c r="C33" s="945">
        <v>143594</v>
      </c>
      <c r="D33" s="945">
        <v>377238</v>
      </c>
      <c r="E33" s="945">
        <v>592410</v>
      </c>
      <c r="F33" s="946"/>
      <c r="G33" s="945" t="s">
        <v>1944</v>
      </c>
      <c r="H33" s="945">
        <v>47224</v>
      </c>
      <c r="I33" s="945">
        <v>88260</v>
      </c>
      <c r="J33" s="945">
        <v>230446</v>
      </c>
      <c r="K33" s="945">
        <v>365930</v>
      </c>
      <c r="L33" s="945"/>
      <c r="M33" s="945" t="s">
        <v>1944</v>
      </c>
      <c r="N33" s="945">
        <v>28897</v>
      </c>
      <c r="O33" s="945">
        <v>39528</v>
      </c>
      <c r="P33" s="945">
        <v>125268</v>
      </c>
      <c r="Q33" s="945">
        <f t="shared" si="0"/>
        <v>193693</v>
      </c>
      <c r="R33" s="945"/>
      <c r="S33" s="945" t="s">
        <v>1944</v>
      </c>
      <c r="T33" s="945">
        <v>19869</v>
      </c>
      <c r="U33" s="945">
        <v>21702</v>
      </c>
      <c r="V33" s="945">
        <v>78589</v>
      </c>
      <c r="W33" s="945">
        <f t="shared" si="1"/>
        <v>120160</v>
      </c>
      <c r="BG33" s="20"/>
      <c r="BH33" s="20"/>
    </row>
    <row r="34" spans="1:60" s="19" customFormat="1">
      <c r="A34" s="945" t="s">
        <v>1945</v>
      </c>
      <c r="B34" s="945">
        <v>67174</v>
      </c>
      <c r="C34" s="945">
        <v>64245</v>
      </c>
      <c r="D34" s="945">
        <v>339719</v>
      </c>
      <c r="E34" s="945">
        <v>471138</v>
      </c>
      <c r="F34" s="946"/>
      <c r="G34" s="945" t="s">
        <v>1945</v>
      </c>
      <c r="H34" s="945">
        <v>44714</v>
      </c>
      <c r="I34" s="945">
        <v>39047</v>
      </c>
      <c r="J34" s="945">
        <v>207206</v>
      </c>
      <c r="K34" s="945">
        <v>290967</v>
      </c>
      <c r="L34" s="945"/>
      <c r="M34" s="945" t="s">
        <v>1945</v>
      </c>
      <c r="N34" s="945">
        <v>27834</v>
      </c>
      <c r="O34" s="945">
        <v>19745</v>
      </c>
      <c r="P34" s="945">
        <v>120260</v>
      </c>
      <c r="Q34" s="945">
        <f t="shared" si="0"/>
        <v>167839</v>
      </c>
      <c r="R34" s="945"/>
      <c r="S34" s="945" t="s">
        <v>1945</v>
      </c>
      <c r="T34" s="945">
        <v>19249</v>
      </c>
      <c r="U34" s="945">
        <v>13161</v>
      </c>
      <c r="V34" s="945">
        <v>80883</v>
      </c>
      <c r="W34" s="945">
        <f t="shared" si="1"/>
        <v>113293</v>
      </c>
      <c r="BG34" s="20"/>
      <c r="BH34" s="20"/>
    </row>
    <row r="35" spans="1:60" s="19" customFormat="1">
      <c r="A35"/>
      <c r="B35"/>
      <c r="C35"/>
      <c r="D35"/>
      <c r="E35"/>
      <c r="F35"/>
      <c r="G35"/>
      <c r="H35"/>
      <c r="I35"/>
      <c r="J35"/>
      <c r="K35"/>
      <c r="L35"/>
      <c r="M35"/>
      <c r="N35"/>
      <c r="O35"/>
      <c r="P35"/>
      <c r="Q35"/>
      <c r="BA35" s="20"/>
      <c r="BB35" s="20"/>
    </row>
    <row r="36" spans="1:60" s="19" customFormat="1">
      <c r="A36"/>
      <c r="B36"/>
      <c r="C36"/>
      <c r="D36"/>
      <c r="E36"/>
      <c r="F36"/>
      <c r="BA36" s="20"/>
      <c r="BB36" s="20"/>
    </row>
    <row r="37" spans="1:60" s="38" customFormat="1" ht="15.75">
      <c r="A37" s="54" t="s">
        <v>178</v>
      </c>
      <c r="B37" s="37"/>
      <c r="C37" s="37"/>
      <c r="D37" s="37"/>
      <c r="E37" s="37"/>
      <c r="F37" s="37"/>
    </row>
    <row r="38" spans="1:60" s="19" customFormat="1">
      <c r="A38"/>
      <c r="B38"/>
      <c r="C38"/>
      <c r="D38"/>
      <c r="E38"/>
      <c r="F38"/>
      <c r="BA38" s="20"/>
      <c r="BB38" s="20"/>
    </row>
    <row r="39" spans="1:60" s="19" customFormat="1" ht="19.5">
      <c r="A39" s="32" t="s">
        <v>115</v>
      </c>
      <c r="B39"/>
      <c r="C39"/>
      <c r="D39"/>
      <c r="E39"/>
      <c r="F39"/>
      <c r="G39"/>
      <c r="H39"/>
      <c r="I39"/>
      <c r="J39"/>
      <c r="K39"/>
      <c r="L39"/>
      <c r="M39" s="32" t="s">
        <v>115</v>
      </c>
      <c r="N39"/>
      <c r="O39"/>
      <c r="P39"/>
      <c r="Q39"/>
      <c r="R39"/>
      <c r="S39"/>
      <c r="T39"/>
      <c r="U39"/>
      <c r="V39"/>
      <c r="W39"/>
      <c r="X39"/>
      <c r="Y39"/>
      <c r="Z39"/>
      <c r="AA39"/>
      <c r="AB39"/>
      <c r="AC39"/>
      <c r="BA39" s="20"/>
      <c r="BB39" s="20"/>
    </row>
    <row r="40" spans="1:60" s="19" customFormat="1">
      <c r="A40" s="1087" t="s">
        <v>116</v>
      </c>
      <c r="B40" s="1087"/>
      <c r="C40" s="1087"/>
      <c r="D40" s="1087"/>
      <c r="E40" s="1087"/>
      <c r="F40"/>
      <c r="G40"/>
      <c r="H40"/>
      <c r="I40"/>
      <c r="J40"/>
      <c r="K40"/>
      <c r="L40"/>
      <c r="M40" t="s">
        <v>124</v>
      </c>
      <c r="N40"/>
      <c r="O40"/>
      <c r="P40"/>
      <c r="Q40"/>
      <c r="R40"/>
      <c r="S40"/>
      <c r="T40"/>
      <c r="U40"/>
      <c r="V40"/>
      <c r="W40"/>
      <c r="X40"/>
      <c r="Y40"/>
      <c r="Z40"/>
      <c r="AA40"/>
      <c r="AB40"/>
      <c r="AC40"/>
      <c r="BA40" s="20"/>
      <c r="BB40" s="20"/>
    </row>
    <row r="41" spans="1:60" s="23" customFormat="1">
      <c r="A41" s="33" t="s">
        <v>117</v>
      </c>
      <c r="B41"/>
      <c r="C41"/>
      <c r="D41"/>
      <c r="E41"/>
      <c r="F41"/>
      <c r="G41"/>
      <c r="H41"/>
      <c r="I41"/>
      <c r="J41"/>
      <c r="K41"/>
      <c r="L41"/>
      <c r="M41" s="33" t="s">
        <v>117</v>
      </c>
      <c r="N41" t="s">
        <v>1105</v>
      </c>
      <c r="O41" t="s">
        <v>1104</v>
      </c>
      <c r="P41" t="s">
        <v>1106</v>
      </c>
      <c r="Q41" t="s">
        <v>1107</v>
      </c>
      <c r="R41" t="s">
        <v>1108</v>
      </c>
      <c r="S41" t="s">
        <v>1109</v>
      </c>
      <c r="T41" t="s">
        <v>1110</v>
      </c>
      <c r="U41" t="s">
        <v>1111</v>
      </c>
      <c r="V41" t="s">
        <v>1117</v>
      </c>
      <c r="W41" t="s">
        <v>1112</v>
      </c>
      <c r="X41" t="s">
        <v>1113</v>
      </c>
      <c r="Y41" t="s">
        <v>1114</v>
      </c>
      <c r="Z41" t="s">
        <v>1115</v>
      </c>
      <c r="AA41" t="s">
        <v>1116</v>
      </c>
      <c r="AB41"/>
      <c r="AC41"/>
    </row>
    <row r="42" spans="1:60" s="912" customFormat="1" ht="90">
      <c r="A42" s="908"/>
      <c r="B42" s="909" t="s">
        <v>118</v>
      </c>
      <c r="C42" s="909" t="s">
        <v>119</v>
      </c>
      <c r="D42" s="909" t="s">
        <v>120</v>
      </c>
      <c r="E42" s="909" t="s">
        <v>673</v>
      </c>
      <c r="F42" s="909" t="s">
        <v>122</v>
      </c>
      <c r="G42" s="909" t="s">
        <v>1394</v>
      </c>
      <c r="H42" s="909" t="s">
        <v>1395</v>
      </c>
      <c r="I42" s="909" t="s">
        <v>1396</v>
      </c>
      <c r="J42" s="909" t="s">
        <v>123</v>
      </c>
      <c r="K42" s="909" t="s">
        <v>673</v>
      </c>
      <c r="L42" s="910"/>
      <c r="M42" s="909"/>
      <c r="N42" s="909" t="s">
        <v>125</v>
      </c>
      <c r="O42" s="909" t="s">
        <v>126</v>
      </c>
      <c r="P42" s="909" t="s">
        <v>127</v>
      </c>
      <c r="Q42" s="909" t="s">
        <v>128</v>
      </c>
      <c r="R42" s="909" t="s">
        <v>129</v>
      </c>
      <c r="S42" s="909" t="s">
        <v>130</v>
      </c>
      <c r="T42" s="909" t="s">
        <v>131</v>
      </c>
      <c r="U42" s="909" t="s">
        <v>132</v>
      </c>
      <c r="V42" s="909" t="s">
        <v>133</v>
      </c>
      <c r="W42" s="909" t="s">
        <v>134</v>
      </c>
      <c r="X42" s="909" t="s">
        <v>135</v>
      </c>
      <c r="Y42" s="909" t="s">
        <v>136</v>
      </c>
      <c r="Z42" s="909" t="s">
        <v>137</v>
      </c>
      <c r="AA42" s="909" t="s">
        <v>138</v>
      </c>
      <c r="AB42" s="909" t="s">
        <v>139</v>
      </c>
      <c r="AC42" s="909" t="s">
        <v>121</v>
      </c>
      <c r="AD42" s="911"/>
      <c r="AE42" s="911"/>
      <c r="AF42" s="911"/>
      <c r="AG42" s="911"/>
      <c r="AH42" s="911"/>
      <c r="AI42" s="911"/>
      <c r="AJ42" s="911"/>
      <c r="AK42" s="911"/>
      <c r="AL42" s="911"/>
      <c r="AM42" s="911"/>
      <c r="AN42" s="911"/>
      <c r="AO42" s="911"/>
      <c r="AP42" s="911"/>
      <c r="AQ42" s="911"/>
      <c r="AR42" s="911"/>
      <c r="AS42" s="911"/>
      <c r="AT42" s="911"/>
      <c r="AU42" s="911"/>
      <c r="AZ42" s="114"/>
      <c r="BA42" s="913"/>
      <c r="BB42" s="913"/>
    </row>
    <row r="43" spans="1:60" s="23" customFormat="1">
      <c r="A43" s="901" t="s">
        <v>1727</v>
      </c>
      <c r="B43" s="902">
        <v>6922</v>
      </c>
      <c r="C43" s="902">
        <v>31803</v>
      </c>
      <c r="D43" s="902">
        <v>10043</v>
      </c>
      <c r="E43" s="903">
        <f>SUM(B43:D43)</f>
        <v>48768</v>
      </c>
      <c r="F43" s="902">
        <v>22631</v>
      </c>
      <c r="G43" s="904">
        <v>8737</v>
      </c>
      <c r="H43" s="904">
        <v>8494</v>
      </c>
      <c r="I43" s="903">
        <v>3635</v>
      </c>
      <c r="J43" s="904">
        <v>5271</v>
      </c>
      <c r="K43" s="902">
        <f>SUM(F43:J43)</f>
        <v>48768</v>
      </c>
      <c r="L43"/>
      <c r="M43" s="902" t="s">
        <v>1727</v>
      </c>
      <c r="N43" s="902">
        <v>1513</v>
      </c>
      <c r="O43" s="902">
        <v>473</v>
      </c>
      <c r="P43" s="902">
        <v>946</v>
      </c>
      <c r="Q43" s="902">
        <v>7912</v>
      </c>
      <c r="R43" s="902">
        <v>1550</v>
      </c>
      <c r="S43" s="902">
        <v>4378</v>
      </c>
      <c r="T43" s="902">
        <v>4572</v>
      </c>
      <c r="U43" s="902">
        <v>2286</v>
      </c>
      <c r="V43" s="902">
        <v>1631</v>
      </c>
      <c r="W43" s="902">
        <v>1771</v>
      </c>
      <c r="X43" s="902">
        <v>9540</v>
      </c>
      <c r="Y43" s="902">
        <v>954</v>
      </c>
      <c r="Z43" s="902">
        <v>7057</v>
      </c>
      <c r="AA43" s="902">
        <v>3954</v>
      </c>
      <c r="AB43" s="902">
        <v>231</v>
      </c>
      <c r="AC43" s="902">
        <v>48768</v>
      </c>
    </row>
    <row r="44" spans="1:60" s="23" customFormat="1">
      <c r="A44" s="901" t="s">
        <v>1728</v>
      </c>
      <c r="B44" s="902">
        <v>7412</v>
      </c>
      <c r="C44" s="902">
        <v>33072</v>
      </c>
      <c r="D44" s="902">
        <v>10291</v>
      </c>
      <c r="E44" s="903">
        <f t="shared" ref="E44:E54" si="2">SUM(B44:D44)</f>
        <v>50775</v>
      </c>
      <c r="F44" s="902">
        <v>23552</v>
      </c>
      <c r="G44" s="904">
        <v>9205</v>
      </c>
      <c r="H44" s="904">
        <v>8691</v>
      </c>
      <c r="I44" s="903">
        <v>3774</v>
      </c>
      <c r="J44" s="904">
        <v>5553</v>
      </c>
      <c r="K44" s="902">
        <f t="shared" ref="K44:K55" si="3">SUM(F44:J44)</f>
        <v>50775</v>
      </c>
      <c r="L44"/>
      <c r="M44" s="902" t="s">
        <v>1728</v>
      </c>
      <c r="N44" s="902">
        <v>1558</v>
      </c>
      <c r="O44" s="902">
        <v>491</v>
      </c>
      <c r="P44" s="902">
        <v>966</v>
      </c>
      <c r="Q44" s="902">
        <v>8339</v>
      </c>
      <c r="R44" s="902">
        <v>1576</v>
      </c>
      <c r="S44" s="902">
        <v>4693</v>
      </c>
      <c r="T44" s="902">
        <v>4790</v>
      </c>
      <c r="U44" s="902">
        <v>2351</v>
      </c>
      <c r="V44" s="902">
        <v>1709</v>
      </c>
      <c r="W44" s="902">
        <v>1765</v>
      </c>
      <c r="X44" s="902">
        <v>9708</v>
      </c>
      <c r="Y44" s="902">
        <v>1065</v>
      </c>
      <c r="Z44" s="902">
        <v>7151</v>
      </c>
      <c r="AA44" s="902">
        <v>4366</v>
      </c>
      <c r="AB44" s="902">
        <v>247</v>
      </c>
      <c r="AC44" s="902">
        <v>50775</v>
      </c>
    </row>
    <row r="45" spans="1:60" s="23" customFormat="1">
      <c r="A45" s="901" t="s">
        <v>1729</v>
      </c>
      <c r="B45" s="902">
        <v>7193</v>
      </c>
      <c r="C45" s="902">
        <v>32987</v>
      </c>
      <c r="D45" s="902">
        <v>10314</v>
      </c>
      <c r="E45" s="903">
        <f t="shared" si="2"/>
        <v>50494</v>
      </c>
      <c r="F45" s="902">
        <v>22951</v>
      </c>
      <c r="G45" s="904">
        <v>9674</v>
      </c>
      <c r="H45" s="904">
        <v>8708</v>
      </c>
      <c r="I45" s="903">
        <v>3720</v>
      </c>
      <c r="J45" s="904">
        <v>5441</v>
      </c>
      <c r="K45" s="902">
        <f t="shared" si="3"/>
        <v>50494</v>
      </c>
      <c r="L45"/>
      <c r="M45" s="902" t="s">
        <v>1729</v>
      </c>
      <c r="N45" s="902">
        <v>1500</v>
      </c>
      <c r="O45" s="902">
        <v>526</v>
      </c>
      <c r="P45" s="902">
        <v>973</v>
      </c>
      <c r="Q45" s="902">
        <v>8357</v>
      </c>
      <c r="R45" s="902">
        <v>1634</v>
      </c>
      <c r="S45" s="902">
        <v>4507</v>
      </c>
      <c r="T45" s="902">
        <v>4759</v>
      </c>
      <c r="U45" s="902">
        <v>2277</v>
      </c>
      <c r="V45" s="902">
        <v>1656</v>
      </c>
      <c r="W45" s="902">
        <v>1754</v>
      </c>
      <c r="X45" s="902">
        <v>9800</v>
      </c>
      <c r="Y45" s="902">
        <v>1057</v>
      </c>
      <c r="Z45" s="902">
        <v>7176</v>
      </c>
      <c r="AA45" s="902">
        <v>4255</v>
      </c>
      <c r="AB45" s="902">
        <v>263</v>
      </c>
      <c r="AC45" s="902">
        <v>50494</v>
      </c>
    </row>
    <row r="46" spans="1:60" s="23" customFormat="1">
      <c r="A46" s="901" t="s">
        <v>1730</v>
      </c>
      <c r="B46" s="902">
        <v>6969</v>
      </c>
      <c r="C46" s="902">
        <v>32582</v>
      </c>
      <c r="D46" s="902">
        <v>10252</v>
      </c>
      <c r="E46" s="903">
        <f t="shared" si="2"/>
        <v>49803</v>
      </c>
      <c r="F46" s="902">
        <v>21440</v>
      </c>
      <c r="G46" s="904">
        <v>10606</v>
      </c>
      <c r="H46" s="904">
        <v>8620</v>
      </c>
      <c r="I46" s="903">
        <v>3732</v>
      </c>
      <c r="J46" s="904">
        <v>5405</v>
      </c>
      <c r="K46" s="902">
        <f t="shared" si="3"/>
        <v>49803</v>
      </c>
      <c r="L46"/>
      <c r="M46" s="902" t="s">
        <v>1730</v>
      </c>
      <c r="N46" s="902">
        <v>1434</v>
      </c>
      <c r="O46" s="902">
        <v>513</v>
      </c>
      <c r="P46" s="902">
        <v>993</v>
      </c>
      <c r="Q46" s="902">
        <v>8174</v>
      </c>
      <c r="R46" s="902">
        <v>1626</v>
      </c>
      <c r="S46" s="902">
        <v>4423</v>
      </c>
      <c r="T46" s="902">
        <v>4663</v>
      </c>
      <c r="U46" s="902">
        <v>2217</v>
      </c>
      <c r="V46" s="902">
        <v>1669</v>
      </c>
      <c r="W46" s="902">
        <v>1711</v>
      </c>
      <c r="X46" s="902">
        <v>9882</v>
      </c>
      <c r="Y46" s="902">
        <v>961</v>
      </c>
      <c r="Z46" s="902">
        <v>7157</v>
      </c>
      <c r="AA46" s="902">
        <v>4140</v>
      </c>
      <c r="AB46" s="902">
        <v>240</v>
      </c>
      <c r="AC46" s="902">
        <v>49803</v>
      </c>
    </row>
    <row r="47" spans="1:60" s="23" customFormat="1">
      <c r="A47" s="901" t="s">
        <v>1731</v>
      </c>
      <c r="B47" s="902">
        <v>6224</v>
      </c>
      <c r="C47" s="902">
        <v>31116</v>
      </c>
      <c r="D47" s="902">
        <v>9999</v>
      </c>
      <c r="E47" s="903">
        <f t="shared" si="2"/>
        <v>47339</v>
      </c>
      <c r="F47" s="902">
        <v>19855</v>
      </c>
      <c r="G47" s="904">
        <v>10440</v>
      </c>
      <c r="H47" s="904">
        <v>8319</v>
      </c>
      <c r="I47" s="903">
        <v>3492</v>
      </c>
      <c r="J47" s="904">
        <v>5233</v>
      </c>
      <c r="K47" s="902">
        <f t="shared" si="3"/>
        <v>47339</v>
      </c>
      <c r="L47"/>
      <c r="M47" s="902" t="s">
        <v>1731</v>
      </c>
      <c r="N47" s="902">
        <v>1353</v>
      </c>
      <c r="O47" s="902">
        <v>498</v>
      </c>
      <c r="P47" s="902">
        <v>960</v>
      </c>
      <c r="Q47" s="902">
        <v>7829</v>
      </c>
      <c r="R47" s="902">
        <v>1517</v>
      </c>
      <c r="S47" s="902">
        <v>4151</v>
      </c>
      <c r="T47" s="902">
        <v>4280</v>
      </c>
      <c r="U47" s="902">
        <v>2063</v>
      </c>
      <c r="V47" s="902">
        <v>1572</v>
      </c>
      <c r="W47" s="902">
        <v>1578</v>
      </c>
      <c r="X47" s="902">
        <v>9384</v>
      </c>
      <c r="Y47" s="902">
        <v>972</v>
      </c>
      <c r="Z47" s="902">
        <v>7090</v>
      </c>
      <c r="AA47" s="902">
        <v>3887</v>
      </c>
      <c r="AB47" s="902">
        <v>205</v>
      </c>
      <c r="AC47" s="902">
        <v>47339</v>
      </c>
    </row>
    <row r="48" spans="1:60" s="23" customFormat="1">
      <c r="A48" s="901" t="s">
        <v>1732</v>
      </c>
      <c r="B48" s="902">
        <v>6021</v>
      </c>
      <c r="C48" s="902">
        <v>30832</v>
      </c>
      <c r="D48" s="902">
        <v>10020</v>
      </c>
      <c r="E48" s="903">
        <f t="shared" si="2"/>
        <v>46873</v>
      </c>
      <c r="F48" s="902">
        <v>19425</v>
      </c>
      <c r="G48" s="904">
        <v>10619</v>
      </c>
      <c r="H48" s="904">
        <v>8295</v>
      </c>
      <c r="I48" s="903">
        <v>3372</v>
      </c>
      <c r="J48" s="904">
        <v>5162</v>
      </c>
      <c r="K48" s="902">
        <f t="shared" si="3"/>
        <v>46873</v>
      </c>
      <c r="L48"/>
      <c r="M48" s="902" t="s">
        <v>1732</v>
      </c>
      <c r="N48" s="902">
        <v>1336</v>
      </c>
      <c r="O48" s="902">
        <v>481</v>
      </c>
      <c r="P48" s="902">
        <v>976</v>
      </c>
      <c r="Q48" s="902">
        <v>7775</v>
      </c>
      <c r="R48" s="902">
        <v>1518</v>
      </c>
      <c r="S48" s="902">
        <v>4049</v>
      </c>
      <c r="T48" s="902">
        <v>4267</v>
      </c>
      <c r="U48" s="902">
        <v>2028</v>
      </c>
      <c r="V48" s="902">
        <v>1489</v>
      </c>
      <c r="W48" s="902">
        <v>1628</v>
      </c>
      <c r="X48" s="902">
        <v>9342</v>
      </c>
      <c r="Y48" s="902">
        <v>876</v>
      </c>
      <c r="Z48" s="902">
        <v>7037</v>
      </c>
      <c r="AA48" s="902">
        <v>3819</v>
      </c>
      <c r="AB48" s="902">
        <v>252</v>
      </c>
      <c r="AC48" s="902">
        <v>46873</v>
      </c>
    </row>
    <row r="49" spans="1:29" s="23" customFormat="1">
      <c r="A49" s="901" t="s">
        <v>1733</v>
      </c>
      <c r="B49" s="902">
        <v>5745</v>
      </c>
      <c r="C49" s="902">
        <v>30515</v>
      </c>
      <c r="D49" s="902">
        <v>9891</v>
      </c>
      <c r="E49" s="903">
        <f t="shared" si="2"/>
        <v>46151</v>
      </c>
      <c r="F49" s="902">
        <v>18945</v>
      </c>
      <c r="G49" s="904">
        <v>10430</v>
      </c>
      <c r="H49" s="904">
        <v>8239</v>
      </c>
      <c r="I49" s="903">
        <v>3341</v>
      </c>
      <c r="J49" s="904">
        <v>5196</v>
      </c>
      <c r="K49" s="902">
        <f t="shared" si="3"/>
        <v>46151</v>
      </c>
      <c r="L49"/>
      <c r="M49" s="902" t="s">
        <v>1733</v>
      </c>
      <c r="N49" s="902">
        <v>1238</v>
      </c>
      <c r="O49" s="902">
        <v>474</v>
      </c>
      <c r="P49" s="902">
        <v>985</v>
      </c>
      <c r="Q49" s="902">
        <v>7638</v>
      </c>
      <c r="R49" s="902">
        <v>1512</v>
      </c>
      <c r="S49" s="902">
        <v>3993</v>
      </c>
      <c r="T49" s="902">
        <v>4117</v>
      </c>
      <c r="U49" s="902">
        <v>2011</v>
      </c>
      <c r="V49" s="902">
        <v>1448</v>
      </c>
      <c r="W49" s="902">
        <v>1623</v>
      </c>
      <c r="X49" s="902">
        <v>9293</v>
      </c>
      <c r="Y49" s="902">
        <v>871</v>
      </c>
      <c r="Z49" s="902">
        <v>6973</v>
      </c>
      <c r="AA49" s="902">
        <v>3654</v>
      </c>
      <c r="AB49" s="902">
        <v>321</v>
      </c>
      <c r="AC49" s="902">
        <v>46151</v>
      </c>
    </row>
    <row r="50" spans="1:29" s="23" customFormat="1">
      <c r="A50" s="901" t="s">
        <v>1796</v>
      </c>
      <c r="B50" s="902">
        <v>5954</v>
      </c>
      <c r="C50" s="902">
        <v>32029</v>
      </c>
      <c r="D50" s="902">
        <v>10097</v>
      </c>
      <c r="E50" s="903">
        <f t="shared" si="2"/>
        <v>48080</v>
      </c>
      <c r="F50" s="902">
        <v>19916</v>
      </c>
      <c r="G50" s="904">
        <v>10603</v>
      </c>
      <c r="H50" s="904">
        <v>8562</v>
      </c>
      <c r="I50" s="903">
        <v>3526</v>
      </c>
      <c r="J50" s="904">
        <v>5473</v>
      </c>
      <c r="K50" s="902">
        <f t="shared" si="3"/>
        <v>48080</v>
      </c>
      <c r="L50"/>
      <c r="M50" s="902" t="s">
        <v>1796</v>
      </c>
      <c r="N50" s="902">
        <v>1303</v>
      </c>
      <c r="O50" s="902">
        <v>497</v>
      </c>
      <c r="P50" s="902">
        <v>1022</v>
      </c>
      <c r="Q50" s="902">
        <v>7853</v>
      </c>
      <c r="R50" s="902">
        <v>1599</v>
      </c>
      <c r="S50" s="902">
        <v>4068</v>
      </c>
      <c r="T50" s="902">
        <v>4203</v>
      </c>
      <c r="U50" s="902">
        <v>2072</v>
      </c>
      <c r="V50" s="902">
        <v>1457</v>
      </c>
      <c r="W50" s="902">
        <v>1727</v>
      </c>
      <c r="X50" s="902">
        <v>9875</v>
      </c>
      <c r="Y50" s="902">
        <v>1030</v>
      </c>
      <c r="Z50" s="902">
        <v>7237</v>
      </c>
      <c r="AA50" s="902">
        <v>3629</v>
      </c>
      <c r="AB50" s="902">
        <v>508</v>
      </c>
      <c r="AC50" s="902">
        <v>48080</v>
      </c>
    </row>
    <row r="51" spans="1:29" s="23" customFormat="1">
      <c r="A51" s="901" t="s">
        <v>1797</v>
      </c>
      <c r="B51" s="902">
        <v>6819</v>
      </c>
      <c r="C51" s="902">
        <v>34850</v>
      </c>
      <c r="D51" s="902">
        <v>10724</v>
      </c>
      <c r="E51" s="903">
        <f t="shared" si="2"/>
        <v>52393</v>
      </c>
      <c r="F51" s="902">
        <v>21875</v>
      </c>
      <c r="G51" s="904">
        <v>11143</v>
      </c>
      <c r="H51" s="904">
        <v>9419</v>
      </c>
      <c r="I51" s="903">
        <v>3868</v>
      </c>
      <c r="J51" s="904">
        <v>6088</v>
      </c>
      <c r="K51" s="902">
        <f t="shared" si="3"/>
        <v>52393</v>
      </c>
      <c r="L51"/>
      <c r="M51" s="902" t="s">
        <v>1797</v>
      </c>
      <c r="N51" s="902">
        <v>1453</v>
      </c>
      <c r="O51" s="902">
        <v>553</v>
      </c>
      <c r="P51" s="902">
        <v>1085</v>
      </c>
      <c r="Q51" s="902">
        <v>8228</v>
      </c>
      <c r="R51" s="902">
        <v>1762</v>
      </c>
      <c r="S51" s="902">
        <v>4719</v>
      </c>
      <c r="T51" s="902">
        <v>4609</v>
      </c>
      <c r="U51" s="902">
        <v>2216</v>
      </c>
      <c r="V51" s="902">
        <v>1535</v>
      </c>
      <c r="W51" s="902">
        <v>1903</v>
      </c>
      <c r="X51" s="902">
        <v>10843</v>
      </c>
      <c r="Y51" s="902">
        <v>1285</v>
      </c>
      <c r="Z51" s="902">
        <v>7732</v>
      </c>
      <c r="AA51" s="902">
        <v>3929</v>
      </c>
      <c r="AB51" s="902">
        <v>541</v>
      </c>
      <c r="AC51" s="902">
        <v>52393</v>
      </c>
    </row>
    <row r="52" spans="1:29" s="23" customFormat="1">
      <c r="A52" s="901" t="s">
        <v>1798</v>
      </c>
      <c r="B52" s="902">
        <v>7220</v>
      </c>
      <c r="C52" s="902">
        <v>32284</v>
      </c>
      <c r="D52" s="902">
        <v>10152</v>
      </c>
      <c r="E52" s="903">
        <f t="shared" si="2"/>
        <v>49656</v>
      </c>
      <c r="F52" s="902">
        <v>22195</v>
      </c>
      <c r="G52" s="904">
        <v>9793</v>
      </c>
      <c r="H52" s="904">
        <v>8755</v>
      </c>
      <c r="I52" s="903">
        <v>3542</v>
      </c>
      <c r="J52" s="904">
        <v>5371</v>
      </c>
      <c r="K52" s="902">
        <f t="shared" si="3"/>
        <v>49656</v>
      </c>
      <c r="L52"/>
      <c r="M52" s="902" t="s">
        <v>1798</v>
      </c>
      <c r="N52" s="902">
        <v>1287</v>
      </c>
      <c r="O52" s="902">
        <v>536</v>
      </c>
      <c r="P52" s="902">
        <v>1080</v>
      </c>
      <c r="Q52" s="902">
        <v>7985</v>
      </c>
      <c r="R52" s="902">
        <v>1721</v>
      </c>
      <c r="S52" s="902">
        <v>4194</v>
      </c>
      <c r="T52" s="902">
        <v>4440</v>
      </c>
      <c r="U52" s="902">
        <v>2092</v>
      </c>
      <c r="V52" s="902">
        <v>1510</v>
      </c>
      <c r="W52" s="902">
        <v>1781</v>
      </c>
      <c r="X52" s="902">
        <v>9948</v>
      </c>
      <c r="Y52" s="902">
        <v>999</v>
      </c>
      <c r="Z52" s="902">
        <v>7557</v>
      </c>
      <c r="AA52" s="902">
        <v>3706</v>
      </c>
      <c r="AB52" s="902">
        <v>820</v>
      </c>
      <c r="AC52" s="902">
        <v>49656</v>
      </c>
    </row>
    <row r="53" spans="1:29" s="23" customFormat="1">
      <c r="A53" s="901" t="s">
        <v>1799</v>
      </c>
      <c r="B53" s="902">
        <v>7395</v>
      </c>
      <c r="C53" s="902">
        <v>32519</v>
      </c>
      <c r="D53" s="902">
        <v>10245</v>
      </c>
      <c r="E53" s="903">
        <f t="shared" si="2"/>
        <v>50159</v>
      </c>
      <c r="F53" s="902">
        <v>22876</v>
      </c>
      <c r="G53" s="904">
        <v>9483</v>
      </c>
      <c r="H53" s="904">
        <v>8854</v>
      </c>
      <c r="I53" s="903">
        <v>3566</v>
      </c>
      <c r="J53" s="904">
        <v>5380</v>
      </c>
      <c r="K53" s="902">
        <f t="shared" si="3"/>
        <v>50159</v>
      </c>
      <c r="L53"/>
      <c r="M53" s="902" t="s">
        <v>1799</v>
      </c>
      <c r="N53" s="902">
        <v>1449</v>
      </c>
      <c r="O53" s="902">
        <v>540</v>
      </c>
      <c r="P53" s="902">
        <v>1067</v>
      </c>
      <c r="Q53" s="902">
        <v>8223</v>
      </c>
      <c r="R53" s="902">
        <v>1782</v>
      </c>
      <c r="S53" s="902">
        <v>3979</v>
      </c>
      <c r="T53" s="902">
        <v>4727</v>
      </c>
      <c r="U53" s="902">
        <v>2139</v>
      </c>
      <c r="V53" s="902">
        <v>1498</v>
      </c>
      <c r="W53" s="902">
        <v>1850</v>
      </c>
      <c r="X53" s="902">
        <v>9936</v>
      </c>
      <c r="Y53" s="902">
        <v>999</v>
      </c>
      <c r="Z53" s="902">
        <v>7551</v>
      </c>
      <c r="AA53" s="902">
        <v>3853</v>
      </c>
      <c r="AB53" s="902">
        <v>566</v>
      </c>
      <c r="AC53" s="902">
        <v>50159</v>
      </c>
    </row>
    <row r="54" spans="1:29" s="23" customFormat="1">
      <c r="A54" s="901" t="s">
        <v>1800</v>
      </c>
      <c r="B54" s="902">
        <v>7271</v>
      </c>
      <c r="C54" s="902">
        <v>32312</v>
      </c>
      <c r="D54" s="902">
        <v>10335</v>
      </c>
      <c r="E54" s="903">
        <f t="shared" si="2"/>
        <v>49918</v>
      </c>
      <c r="F54" s="902">
        <v>22859</v>
      </c>
      <c r="G54" s="904">
        <v>9183</v>
      </c>
      <c r="H54" s="904">
        <v>8862</v>
      </c>
      <c r="I54" s="903">
        <v>3587</v>
      </c>
      <c r="J54" s="904">
        <v>5427</v>
      </c>
      <c r="K54" s="902">
        <f t="shared" si="3"/>
        <v>49918</v>
      </c>
      <c r="L54"/>
      <c r="M54" s="902" t="s">
        <v>1800</v>
      </c>
      <c r="N54" s="902">
        <v>1601</v>
      </c>
      <c r="O54" s="902">
        <v>531</v>
      </c>
      <c r="P54" s="902">
        <v>1026</v>
      </c>
      <c r="Q54" s="902">
        <v>8023</v>
      </c>
      <c r="R54" s="902">
        <v>1718</v>
      </c>
      <c r="S54" s="902">
        <v>3987</v>
      </c>
      <c r="T54" s="902">
        <v>4959</v>
      </c>
      <c r="U54" s="902">
        <v>2140</v>
      </c>
      <c r="V54" s="902">
        <v>1506</v>
      </c>
      <c r="W54" s="902">
        <v>1812</v>
      </c>
      <c r="X54" s="902">
        <v>9921</v>
      </c>
      <c r="Y54" s="902">
        <v>986</v>
      </c>
      <c r="Z54" s="902">
        <v>7457</v>
      </c>
      <c r="AA54" s="902">
        <v>3841</v>
      </c>
      <c r="AB54" s="902">
        <v>410</v>
      </c>
      <c r="AC54" s="902">
        <v>49918</v>
      </c>
    </row>
    <row r="55" spans="1:29" s="673" customFormat="1">
      <c r="A55" s="897" t="s">
        <v>1801</v>
      </c>
      <c r="B55" s="898">
        <v>6873</v>
      </c>
      <c r="C55" s="898">
        <v>32393</v>
      </c>
      <c r="D55" s="898">
        <v>10367</v>
      </c>
      <c r="E55" s="898">
        <v>49633</v>
      </c>
      <c r="F55" s="898">
        <v>22280</v>
      </c>
      <c r="G55" s="899">
        <v>9232</v>
      </c>
      <c r="H55" s="899">
        <v>9030</v>
      </c>
      <c r="I55" s="900">
        <v>3556</v>
      </c>
      <c r="J55" s="899">
        <v>5535</v>
      </c>
      <c r="K55" s="899">
        <f t="shared" si="3"/>
        <v>49633</v>
      </c>
      <c r="L55" s="672"/>
      <c r="M55" s="909" t="s">
        <v>1801</v>
      </c>
      <c r="N55" s="909">
        <v>1637</v>
      </c>
      <c r="O55" s="909">
        <v>514</v>
      </c>
      <c r="P55" s="909">
        <v>1035</v>
      </c>
      <c r="Q55" s="909">
        <v>7876</v>
      </c>
      <c r="R55" s="909">
        <v>1684</v>
      </c>
      <c r="S55" s="909">
        <v>4206</v>
      </c>
      <c r="T55" s="909">
        <v>4823</v>
      </c>
      <c r="U55" s="909">
        <v>2164</v>
      </c>
      <c r="V55" s="909">
        <v>1532</v>
      </c>
      <c r="W55" s="909">
        <v>1730</v>
      </c>
      <c r="X55" s="909">
        <v>9828</v>
      </c>
      <c r="Y55" s="909">
        <v>1006</v>
      </c>
      <c r="Z55" s="909">
        <v>7427</v>
      </c>
      <c r="AA55" s="909">
        <v>3920</v>
      </c>
      <c r="AB55" s="909">
        <v>251</v>
      </c>
      <c r="AC55" s="909">
        <v>49633</v>
      </c>
    </row>
    <row r="56" spans="1:29" s="23" customFormat="1" ht="16.5">
      <c r="A56" s="905" t="s">
        <v>1802</v>
      </c>
      <c r="B56" s="906">
        <v>-7.0788789367234907E-3</v>
      </c>
      <c r="C56" s="906">
        <v>1.8551708958274377E-2</v>
      </c>
      <c r="D56" s="906">
        <v>3.226127651100269E-2</v>
      </c>
      <c r="E56" s="906">
        <v>1.7737040682414697E-2</v>
      </c>
      <c r="F56" s="907">
        <v>-1.5509699085325438E-2</v>
      </c>
      <c r="G56" s="907">
        <v>5.6655602609591391E-2</v>
      </c>
      <c r="H56" s="907">
        <v>6.3103367082646578E-2</v>
      </c>
      <c r="I56" s="907">
        <v>-2.1733149931224209E-2</v>
      </c>
      <c r="J56" s="907">
        <v>5.0085372794536141E-2</v>
      </c>
      <c r="K56" s="907">
        <v>1.7737040682414697E-2</v>
      </c>
      <c r="L56" s="36"/>
      <c r="M56" s="34" t="s">
        <v>1734</v>
      </c>
      <c r="N56" s="35"/>
      <c r="O56" s="35"/>
      <c r="P56" s="35"/>
      <c r="Q56" s="35"/>
      <c r="R56" s="35"/>
      <c r="S56" s="35"/>
      <c r="T56" s="35"/>
      <c r="U56" s="35"/>
      <c r="V56" s="35"/>
      <c r="W56" s="35"/>
      <c r="X56" s="35"/>
      <c r="Y56" s="35"/>
      <c r="Z56" s="35"/>
      <c r="AA56" s="35"/>
      <c r="AB56" s="35"/>
      <c r="AC56" s="35"/>
    </row>
    <row r="57" spans="1:29" s="23" customFormat="1">
      <c r="A57"/>
      <c r="B57" s="148">
        <f>(B55-B43)/B43</f>
        <v>-7.0788789367234907E-3</v>
      </c>
      <c r="C57" s="148">
        <f>(C55-C43)/C43</f>
        <v>1.8551708958274377E-2</v>
      </c>
      <c r="D57" s="148">
        <f>(D55-D43)/D43</f>
        <v>3.226127651100269E-2</v>
      </c>
      <c r="E57" s="148">
        <f>(E55-E43)/E43</f>
        <v>1.7737040682414697E-2</v>
      </c>
      <c r="F57" s="148">
        <f>(F55-F43)/F43</f>
        <v>-1.5509699085325438E-2</v>
      </c>
      <c r="G57"/>
      <c r="H57" s="148">
        <f>((H55+G55)-(H43+G43))/(H43+G43)</f>
        <v>5.9834020080088215E-2</v>
      </c>
      <c r="I57" s="148">
        <f>((I55+J55)-(I43+J43))/(I43+J43)</f>
        <v>2.0772512912643162E-2</v>
      </c>
      <c r="J57" s="219"/>
      <c r="K57"/>
      <c r="L57"/>
      <c r="M57" s="22"/>
      <c r="N57" s="380">
        <f>((N55-N43)/N43)</f>
        <v>8.1956378056840709E-2</v>
      </c>
      <c r="O57" s="380">
        <f t="shared" ref="O57:AC57" si="4">((O55-O43)/O43)</f>
        <v>8.6680761099365747E-2</v>
      </c>
      <c r="P57" s="380">
        <f t="shared" si="4"/>
        <v>9.4080338266384775E-2</v>
      </c>
      <c r="Q57" s="380">
        <f t="shared" si="4"/>
        <v>-4.5500505561172902E-3</v>
      </c>
      <c r="R57" s="380">
        <f t="shared" si="4"/>
        <v>8.6451612903225811E-2</v>
      </c>
      <c r="S57" s="380">
        <f t="shared" si="4"/>
        <v>-3.9287345820009138E-2</v>
      </c>
      <c r="T57" s="380">
        <f t="shared" si="4"/>
        <v>5.4899387576552931E-2</v>
      </c>
      <c r="U57" s="380">
        <f t="shared" si="4"/>
        <v>-5.3368328958880142E-2</v>
      </c>
      <c r="V57" s="380">
        <f t="shared" si="4"/>
        <v>-6.069895769466585E-2</v>
      </c>
      <c r="W57" s="380">
        <f t="shared" si="4"/>
        <v>-2.3150762281197064E-2</v>
      </c>
      <c r="X57" s="380">
        <f t="shared" si="4"/>
        <v>3.0188679245283019E-2</v>
      </c>
      <c r="Y57" s="380">
        <f t="shared" si="4"/>
        <v>5.450733752620545E-2</v>
      </c>
      <c r="Z57" s="380">
        <f t="shared" si="4"/>
        <v>5.2430211137877283E-2</v>
      </c>
      <c r="AA57" s="380">
        <f t="shared" si="4"/>
        <v>-8.5988872028325749E-3</v>
      </c>
      <c r="AB57" s="674" t="s">
        <v>1397</v>
      </c>
      <c r="AC57" s="380">
        <f t="shared" si="4"/>
        <v>1.7737040682414697E-2</v>
      </c>
    </row>
    <row r="58" spans="1:29" s="52" customFormat="1">
      <c r="A58" s="53" t="s">
        <v>1449</v>
      </c>
      <c r="B58" s="51"/>
      <c r="K58" s="606" t="s">
        <v>1286</v>
      </c>
    </row>
    <row r="59" spans="1:29" s="23" customFormat="1" ht="12.75">
      <c r="A59" s="22"/>
      <c r="B59" s="22"/>
      <c r="O59" s="25"/>
    </row>
    <row r="60" spans="1:29" s="25" customFormat="1" ht="75">
      <c r="A60" s="65" t="s">
        <v>141</v>
      </c>
      <c r="B60" s="65" t="s">
        <v>142</v>
      </c>
      <c r="C60" s="65" t="s">
        <v>143</v>
      </c>
      <c r="D60" s="65" t="s">
        <v>144</v>
      </c>
      <c r="E60" s="65" t="s">
        <v>1479</v>
      </c>
      <c r="F60" s="65" t="s">
        <v>146</v>
      </c>
      <c r="G60" s="65" t="s">
        <v>147</v>
      </c>
      <c r="H60" s="65" t="s">
        <v>1667</v>
      </c>
      <c r="I60" s="65" t="s">
        <v>1480</v>
      </c>
      <c r="J60" s="65" t="s">
        <v>249</v>
      </c>
      <c r="K60" s="23"/>
      <c r="L60" s="23"/>
      <c r="M60" s="23"/>
      <c r="N60" s="23"/>
      <c r="O60" s="23"/>
    </row>
    <row r="61" spans="1:29" s="23" customFormat="1">
      <c r="A61" s="23" t="s">
        <v>2041</v>
      </c>
      <c r="B61" s="64" t="s">
        <v>110</v>
      </c>
      <c r="C61" s="64" t="s">
        <v>149</v>
      </c>
      <c r="D61" s="64" t="s">
        <v>1405</v>
      </c>
      <c r="E61" s="983">
        <v>14379.5214190607</v>
      </c>
      <c r="F61" s="983">
        <v>5019.9094123202003</v>
      </c>
      <c r="G61" s="983">
        <v>3064.2162404448</v>
      </c>
      <c r="H61" s="982">
        <v>205240.41332009199</v>
      </c>
      <c r="I61" s="50">
        <f>E61/H61</f>
        <v>7.0061842043917855E-2</v>
      </c>
    </row>
    <row r="62" spans="1:29" s="23" customFormat="1">
      <c r="A62" s="23" t="s">
        <v>2042</v>
      </c>
      <c r="B62" s="49" t="s">
        <v>462</v>
      </c>
      <c r="C62" s="49" t="s">
        <v>151</v>
      </c>
      <c r="D62" s="49" t="s">
        <v>1404</v>
      </c>
      <c r="E62" s="983">
        <v>34718.1066883573</v>
      </c>
      <c r="F62" s="983">
        <v>15545.1710576519</v>
      </c>
      <c r="G62" s="983">
        <v>7272.8583337506998</v>
      </c>
      <c r="H62" s="982">
        <v>393798.32735437702</v>
      </c>
      <c r="I62" s="50">
        <f t="shared" ref="I62:I75" si="5">E62/H62</f>
        <v>8.8162148685600336E-2</v>
      </c>
    </row>
    <row r="63" spans="1:29" s="23" customFormat="1">
      <c r="A63" s="23" t="s">
        <v>2043</v>
      </c>
      <c r="B63" s="49" t="s">
        <v>679</v>
      </c>
      <c r="C63" s="49" t="s">
        <v>153</v>
      </c>
      <c r="D63" s="49" t="s">
        <v>1404</v>
      </c>
      <c r="E63" s="983">
        <v>9525.2635218461</v>
      </c>
      <c r="F63" s="983">
        <v>3420.3496637174999</v>
      </c>
      <c r="G63" s="983">
        <v>1806.4152054942999</v>
      </c>
      <c r="H63" s="982">
        <v>111006.46770826</v>
      </c>
      <c r="I63" s="50">
        <f t="shared" si="5"/>
        <v>8.5808185040891313E-2</v>
      </c>
    </row>
    <row r="64" spans="1:29" s="23" customFormat="1">
      <c r="A64" s="23" t="s">
        <v>2044</v>
      </c>
      <c r="B64" s="49" t="s">
        <v>465</v>
      </c>
      <c r="C64" s="49" t="s">
        <v>155</v>
      </c>
      <c r="D64" s="49" t="s">
        <v>1403</v>
      </c>
      <c r="E64" s="983">
        <v>21920.111529724902</v>
      </c>
      <c r="F64" s="983">
        <v>10957.792235019901</v>
      </c>
      <c r="G64" s="983">
        <v>5559.1056615969001</v>
      </c>
      <c r="H64" s="982">
        <v>275843.09358745097</v>
      </c>
      <c r="I64" s="50">
        <f t="shared" si="5"/>
        <v>7.9465870414390252E-2</v>
      </c>
    </row>
    <row r="65" spans="1:19" s="23" customFormat="1">
      <c r="A65" s="49" t="s">
        <v>156</v>
      </c>
      <c r="B65" s="49" t="s">
        <v>466</v>
      </c>
      <c r="C65" s="49" t="s">
        <v>158</v>
      </c>
      <c r="D65" s="49" t="s">
        <v>510</v>
      </c>
      <c r="E65" s="983">
        <v>29038.765628781501</v>
      </c>
      <c r="F65" s="983">
        <v>14538.653938572001</v>
      </c>
      <c r="G65" s="983">
        <v>5358.3012459166002</v>
      </c>
      <c r="H65" s="982">
        <v>360625.62667773699</v>
      </c>
      <c r="I65" s="50">
        <f t="shared" si="5"/>
        <v>8.0523300288726243E-2</v>
      </c>
      <c r="L65" s="49"/>
    </row>
    <row r="66" spans="1:19" s="23" customFormat="1">
      <c r="A66" s="49" t="s">
        <v>159</v>
      </c>
      <c r="B66" s="49" t="s">
        <v>469</v>
      </c>
      <c r="C66" s="49" t="s">
        <v>161</v>
      </c>
      <c r="D66" s="49" t="s">
        <v>508</v>
      </c>
      <c r="E66" s="983">
        <v>24631.0587045506</v>
      </c>
      <c r="F66" s="983">
        <v>13504.6135906375</v>
      </c>
      <c r="G66" s="983">
        <v>5285.6768701969004</v>
      </c>
      <c r="H66" s="982">
        <v>306185.820132202</v>
      </c>
      <c r="I66" s="50">
        <f t="shared" si="5"/>
        <v>8.0444805360077212E-2</v>
      </c>
      <c r="L66" s="49"/>
    </row>
    <row r="67" spans="1:19" s="23" customFormat="1">
      <c r="A67" s="23" t="s">
        <v>2045</v>
      </c>
      <c r="B67" s="49" t="s">
        <v>2</v>
      </c>
      <c r="C67" s="49" t="s">
        <v>72</v>
      </c>
      <c r="D67" s="49" t="s">
        <v>1406</v>
      </c>
      <c r="E67" s="983">
        <v>39087.328163624603</v>
      </c>
      <c r="F67" s="983">
        <v>19556.515154450699</v>
      </c>
      <c r="G67" s="983">
        <v>7576.0645975783</v>
      </c>
      <c r="H67" s="982">
        <v>457186.22967222403</v>
      </c>
      <c r="I67" s="50">
        <f t="shared" si="5"/>
        <v>8.5495418774200499E-2</v>
      </c>
    </row>
    <row r="68" spans="1:19" s="23" customFormat="1">
      <c r="A68" s="23" t="s">
        <v>2046</v>
      </c>
      <c r="B68" s="49" t="s">
        <v>461</v>
      </c>
      <c r="C68" s="49" t="s">
        <v>163</v>
      </c>
      <c r="D68" s="49" t="s">
        <v>1407</v>
      </c>
      <c r="E68" s="983">
        <v>42333.447193334498</v>
      </c>
      <c r="F68" s="983">
        <v>18685.029945802798</v>
      </c>
      <c r="G68" s="983">
        <v>9406.4204174430997</v>
      </c>
      <c r="H68" s="982">
        <v>538844.89782121906</v>
      </c>
      <c r="I68" s="50">
        <f t="shared" si="5"/>
        <v>7.8563325670349252E-2</v>
      </c>
    </row>
    <row r="69" spans="1:19" s="23" customFormat="1">
      <c r="A69" s="23" t="s">
        <v>2048</v>
      </c>
      <c r="B69" s="49" t="s">
        <v>470</v>
      </c>
      <c r="C69" s="49" t="s">
        <v>165</v>
      </c>
      <c r="D69" s="49" t="s">
        <v>1402</v>
      </c>
      <c r="E69" s="983">
        <v>21967.687571135601</v>
      </c>
      <c r="F69" s="983">
        <v>11185.5177190628</v>
      </c>
      <c r="G69" s="983">
        <v>6439.7356383275001</v>
      </c>
      <c r="H69" s="982">
        <v>274091.55212148197</v>
      </c>
      <c r="I69" s="50">
        <f t="shared" si="5"/>
        <v>8.0147262478922204E-2</v>
      </c>
    </row>
    <row r="70" spans="1:19" s="23" customFormat="1">
      <c r="A70" s="23" t="s">
        <v>2049</v>
      </c>
      <c r="B70" s="49" t="s">
        <v>460</v>
      </c>
      <c r="C70" s="49" t="s">
        <v>166</v>
      </c>
      <c r="D70" s="49" t="s">
        <v>1402</v>
      </c>
      <c r="E70" s="983">
        <v>26729.467210286999</v>
      </c>
      <c r="F70" s="983">
        <v>11845.350671202699</v>
      </c>
      <c r="G70" s="983">
        <v>4686.5253101033004</v>
      </c>
      <c r="H70" s="982">
        <v>308536.47781830101</v>
      </c>
      <c r="I70" s="50">
        <f t="shared" si="5"/>
        <v>8.6633085978339797E-2</v>
      </c>
    </row>
    <row r="71" spans="1:19" s="23" customFormat="1">
      <c r="A71" s="23" t="s">
        <v>2047</v>
      </c>
      <c r="B71" s="49" t="s">
        <v>464</v>
      </c>
      <c r="C71" s="49" t="s">
        <v>168</v>
      </c>
      <c r="D71" s="49" t="s">
        <v>1407</v>
      </c>
      <c r="E71" s="983">
        <v>21250.625498048801</v>
      </c>
      <c r="F71" s="983">
        <v>8785.4839741311007</v>
      </c>
      <c r="G71" s="983">
        <v>6367.7473753794002</v>
      </c>
      <c r="H71" s="982">
        <v>239192.480127355</v>
      </c>
      <c r="I71" s="50">
        <f t="shared" si="5"/>
        <v>8.8843200617068629E-2</v>
      </c>
    </row>
    <row r="72" spans="1:19" s="23" customFormat="1">
      <c r="A72" s="23" t="s">
        <v>169</v>
      </c>
      <c r="B72" s="49" t="s">
        <v>680</v>
      </c>
      <c r="C72" s="49" t="s">
        <v>170</v>
      </c>
      <c r="D72" s="49" t="s">
        <v>290</v>
      </c>
      <c r="E72" s="983">
        <v>24739.677636627701</v>
      </c>
      <c r="F72" s="983">
        <v>10572.755543297</v>
      </c>
      <c r="G72" s="983">
        <v>9924.0911142121004</v>
      </c>
      <c r="H72" s="982">
        <v>211803.684276074</v>
      </c>
      <c r="I72" s="50">
        <f t="shared" si="5"/>
        <v>0.11680475588130443</v>
      </c>
    </row>
    <row r="73" spans="1:19" s="23" customFormat="1">
      <c r="A73" s="23" t="s">
        <v>171</v>
      </c>
      <c r="B73" s="49" t="s">
        <v>1</v>
      </c>
      <c r="C73" s="49" t="s">
        <v>173</v>
      </c>
      <c r="D73" s="49" t="s">
        <v>290</v>
      </c>
      <c r="E73" s="983">
        <v>31134.222891445799</v>
      </c>
      <c r="F73" s="983">
        <v>14837.983710143601</v>
      </c>
      <c r="G73" s="983">
        <v>7064.0297298677997</v>
      </c>
      <c r="H73" s="982">
        <v>348816.88736502401</v>
      </c>
      <c r="I73" s="50">
        <f t="shared" si="5"/>
        <v>8.9256638709882707E-2</v>
      </c>
    </row>
    <row r="74" spans="1:19" s="23" customFormat="1">
      <c r="A74" s="23" t="s">
        <v>174</v>
      </c>
      <c r="B74" s="49" t="s">
        <v>681</v>
      </c>
      <c r="C74" s="49" t="s">
        <v>175</v>
      </c>
      <c r="D74" s="49" t="s">
        <v>290</v>
      </c>
      <c r="E74" s="983">
        <v>24873.255920891999</v>
      </c>
      <c r="F74" s="983">
        <v>11364.0706767504</v>
      </c>
      <c r="G74" s="983">
        <v>11024.5206431731</v>
      </c>
      <c r="H74" s="982">
        <v>205860.78320554501</v>
      </c>
      <c r="I74" s="50">
        <f t="shared" si="5"/>
        <v>0.12082561590206764</v>
      </c>
    </row>
    <row r="75" spans="1:19" s="23" customFormat="1">
      <c r="A75" s="23" t="s">
        <v>176</v>
      </c>
      <c r="B75" s="49" t="s">
        <v>682</v>
      </c>
      <c r="C75" s="49" t="s">
        <v>177</v>
      </c>
      <c r="D75" s="49" t="s">
        <v>290</v>
      </c>
      <c r="E75" s="983">
        <v>14602.0776200769</v>
      </c>
      <c r="F75" s="983">
        <v>6685.9221919321999</v>
      </c>
      <c r="G75" s="983">
        <v>5558.5506501778</v>
      </c>
      <c r="H75" s="982">
        <v>89010.448595809998</v>
      </c>
      <c r="I75" s="50">
        <f t="shared" si="5"/>
        <v>0.16404902851780781</v>
      </c>
    </row>
    <row r="76" spans="1:19" s="23" customFormat="1" ht="12.75">
      <c r="A76" s="22"/>
      <c r="B76" s="22"/>
    </row>
    <row r="77" spans="1:19" s="23" customFormat="1" ht="12.75">
      <c r="A77" s="22"/>
      <c r="B77" s="22"/>
    </row>
    <row r="78" spans="1:19" s="23" customFormat="1">
      <c r="A78" t="str">
        <f>'Marché du travail'!H64</f>
        <v>Bordeaux</v>
      </c>
      <c r="B78">
        <f>VLOOKUP($A$78,$B$60:$J$75,4,FALSE)</f>
        <v>39087.328163624603</v>
      </c>
      <c r="C78"/>
      <c r="D78" s="16"/>
      <c r="E78"/>
      <c r="F78"/>
      <c r="G78"/>
      <c r="H78" t="s">
        <v>231</v>
      </c>
      <c r="I78"/>
      <c r="J78" t="str">
        <f>'Marché du travail'!P64</f>
        <v>Toulouse</v>
      </c>
      <c r="K78">
        <f>VLOOKUP($J$78,$B$60:$J$75,4,FALSE)</f>
        <v>42333.447193334498</v>
      </c>
      <c r="L78"/>
      <c r="M78" s="16"/>
      <c r="N78"/>
      <c r="O78"/>
      <c r="P78"/>
      <c r="Q78"/>
      <c r="R78"/>
      <c r="S78"/>
    </row>
    <row r="79" spans="1:19" s="23" customFormat="1">
      <c r="A79"/>
      <c r="B79"/>
      <c r="C79"/>
      <c r="D79" s="16"/>
      <c r="E79"/>
      <c r="F79"/>
      <c r="G79"/>
      <c r="H79"/>
      <c r="I79"/>
      <c r="J79"/>
      <c r="K79"/>
      <c r="L79"/>
      <c r="M79" s="16"/>
      <c r="N79"/>
      <c r="O79"/>
      <c r="P79"/>
      <c r="Q79"/>
      <c r="R79"/>
      <c r="S79"/>
    </row>
    <row r="80" spans="1:19" s="23" customFormat="1">
      <c r="A80"/>
      <c r="B80"/>
      <c r="C80"/>
      <c r="D80" s="16"/>
      <c r="E80"/>
      <c r="F80"/>
      <c r="G80"/>
      <c r="H80"/>
      <c r="I80"/>
      <c r="J80"/>
      <c r="K80"/>
      <c r="L80"/>
      <c r="M80" s="16"/>
      <c r="N80"/>
      <c r="O80"/>
      <c r="P80"/>
      <c r="Q80"/>
      <c r="R80"/>
      <c r="S80"/>
    </row>
    <row r="81" spans="1:19" s="23" customFormat="1">
      <c r="A81"/>
      <c r="B81"/>
      <c r="C81"/>
      <c r="D81" s="16"/>
      <c r="E81"/>
      <c r="F81"/>
      <c r="G81"/>
      <c r="H81"/>
      <c r="I81"/>
      <c r="J81"/>
      <c r="K81"/>
      <c r="L81"/>
      <c r="M81" s="16"/>
      <c r="N81"/>
      <c r="O81"/>
      <c r="P81"/>
      <c r="Q81"/>
      <c r="R81"/>
      <c r="S81"/>
    </row>
    <row r="82" spans="1:19" s="23" customFormat="1" ht="45">
      <c r="A82" t="str">
        <f>A78</f>
        <v>Bordeaux</v>
      </c>
      <c r="B82" s="62" t="s">
        <v>182</v>
      </c>
      <c r="C82" s="62" t="s">
        <v>183</v>
      </c>
      <c r="D82" s="63" t="s">
        <v>145</v>
      </c>
      <c r="E82" s="62" t="s">
        <v>229</v>
      </c>
      <c r="F82" s="62" t="s">
        <v>230</v>
      </c>
      <c r="G82" s="62" t="s">
        <v>250</v>
      </c>
      <c r="H82" s="9"/>
      <c r="I82"/>
      <c r="J82" t="str">
        <f>J78</f>
        <v>Toulouse</v>
      </c>
      <c r="K82" s="62" t="s">
        <v>182</v>
      </c>
      <c r="L82" s="62" t="s">
        <v>183</v>
      </c>
      <c r="M82" s="63" t="s">
        <v>145</v>
      </c>
      <c r="N82" s="62" t="s">
        <v>229</v>
      </c>
      <c r="O82" s="62" t="s">
        <v>230</v>
      </c>
      <c r="P82" s="62" t="s">
        <v>250</v>
      </c>
      <c r="Q82"/>
      <c r="R82"/>
      <c r="S82"/>
    </row>
    <row r="83" spans="1:19" s="23" customFormat="1">
      <c r="A83" s="56">
        <v>1</v>
      </c>
      <c r="B83" t="str">
        <f>VLOOKUP(CONCATENATE($A$82,$A83),'D_Ch2-2_det-BMO'!$F:$K,2,FALSE)</f>
        <v>T4Z60</v>
      </c>
      <c r="C83" t="str">
        <f>VLOOKUP(CONCATENATE($A$82,$A83),'D_Ch2-2_det-BMO'!$F:$Z,3,FALSE)</f>
        <v>Agents d'entretien y compris ATSEM</v>
      </c>
      <c r="D83" s="16">
        <f>VLOOKUP(CONCATENATE($A$82,$A83),'D_Ch2-2_det-BMO'!$F:$K,4,FALSE)</f>
        <v>2976.0963388</v>
      </c>
      <c r="E83" s="36">
        <f>VLOOKUP(CONCATENATE($A$82,$A83),'D_Ch2-2_det-BMO'!$F:$Z,7,FALSE)</f>
        <v>0.56021616520393269</v>
      </c>
      <c r="F83" s="36">
        <f>VLOOKUP(CONCATENATE($A$82,$A83),'D_Ch2-2_det-BMO'!$F:$Z,8,FALSE)</f>
        <v>0.1439085529377353</v>
      </c>
      <c r="G83" s="57">
        <f>D83/$B$78</f>
        <v>7.6139671822583438E-2</v>
      </c>
      <c r="H83"/>
      <c r="I83"/>
      <c r="J83" s="56">
        <v>1</v>
      </c>
      <c r="K83" t="str">
        <f>VLOOKUP(CONCATENATE($J$82,$J83),'D_Ch2-2_det-BMO'!$F:$K,2,FALSE)</f>
        <v>M2Z90</v>
      </c>
      <c r="L83" t="str">
        <f>VLOOKUP(CONCATENATE($J$82,$J83),'D_Ch2-2_det-BMO'!$F:$Z,3,FALSE)</f>
        <v xml:space="preserve">Ingénieurs informatique </v>
      </c>
      <c r="M83" s="16">
        <f>VLOOKUP(CONCATENATE($J$82,$J83),'D_Ch2-2_det-BMO'!$F:$K,4,FALSE)</f>
        <v>2021.8138199</v>
      </c>
      <c r="N83" s="158">
        <f>VLOOKUP(CONCATENATE($J$82,$J83),'D_Ch2-2_det-BMO'!$F:$Z,7,FALSE)</f>
        <v>0.54533947876295252</v>
      </c>
      <c r="O83" s="158">
        <f>VLOOKUP(CONCATENATE($J$82,$J83),'D_Ch2-2_det-BMO'!$F:$Z,8,FALSE)</f>
        <v>5.9352646034408485E-2</v>
      </c>
      <c r="P83" s="57">
        <f>M83/$K$78</f>
        <v>4.7759253118851597E-2</v>
      </c>
      <c r="Q83"/>
      <c r="R83"/>
      <c r="S83"/>
    </row>
    <row r="84" spans="1:19" s="23" customFormat="1">
      <c r="A84" s="56">
        <v>2</v>
      </c>
      <c r="B84" t="str">
        <f>VLOOKUP(CONCATENATE($A$82,$A84),'D_Ch2-2_det-BMO'!$F:$K,2,FALSE)</f>
        <v>R1Z67</v>
      </c>
      <c r="C84" t="str">
        <f>VLOOKUP(CONCATENATE($A$82,$A84),'D_Ch2-2_det-BMO'!$F:$Z,3,FALSE)</f>
        <v>Télévendeurs</v>
      </c>
      <c r="D84" s="16">
        <f>VLOOKUP(CONCATENATE($A$82,$A84),'D_Ch2-2_det-BMO'!$F:$K,4,FALSE)</f>
        <v>1397.6380833000001</v>
      </c>
      <c r="E84" s="36">
        <f>VLOOKUP(CONCATENATE($A$82,$A84),'D_Ch2-2_det-BMO'!$F:$Z,7,FALSE)</f>
        <v>0.90892128354184498</v>
      </c>
      <c r="F84" s="36">
        <f>VLOOKUP(CONCATENATE($A$82,$A84),'D_Ch2-2_det-BMO'!$F:$Z,8,FALSE)</f>
        <v>4.3585204029478665E-2</v>
      </c>
      <c r="G84" s="57">
        <f t="shared" ref="G84:G91" si="6">D84/$B$78</f>
        <v>3.5756807870041832E-2</v>
      </c>
      <c r="H84"/>
      <c r="I84"/>
      <c r="J84" s="56">
        <v>2</v>
      </c>
      <c r="K84" t="str">
        <f>VLOOKUP(CONCATENATE($J$82,$J84),'D_Ch2-2_det-BMO'!$F:$K,2,FALSE)</f>
        <v>T4Z60</v>
      </c>
      <c r="L84" t="str">
        <f>VLOOKUP(CONCATENATE($J$82,$J84),'D_Ch2-2_det-BMO'!$F:$Z,3,FALSE)</f>
        <v>Agents d'entretien y compris ATSEM</v>
      </c>
      <c r="M84" s="16">
        <f>VLOOKUP(CONCATENATE($J$82,$J84),'D_Ch2-2_det-BMO'!$F:$K,4,FALSE)</f>
        <v>1862.5829286999999</v>
      </c>
      <c r="N84" s="158">
        <f>VLOOKUP(CONCATENATE($J$82,$J84),'D_Ch2-2_det-BMO'!$F:$Z,7,FALSE)</f>
        <v>0.18004286769881206</v>
      </c>
      <c r="O84" s="158">
        <f>VLOOKUP(CONCATENATE($J$82,$J84),'D_Ch2-2_det-BMO'!$F:$Z,8,FALSE)</f>
        <v>0.33362056013994867</v>
      </c>
      <c r="P84" s="57">
        <f t="shared" ref="P84:P92" si="7">M84/$K$78</f>
        <v>4.3997903600755388E-2</v>
      </c>
      <c r="Q84"/>
      <c r="R84"/>
      <c r="S84"/>
    </row>
    <row r="85" spans="1:19" s="23" customFormat="1">
      <c r="A85" s="56">
        <v>3</v>
      </c>
      <c r="B85" t="str">
        <f>VLOOKUP(CONCATENATE($A$82,$A85),'D_Ch2-2_det-BMO'!$F:$K,2,FALSE)</f>
        <v>V5Z81</v>
      </c>
      <c r="C85" t="str">
        <f>VLOOKUP(CONCATENATE($A$82,$A85),'D_Ch2-2_det-BMO'!$F:$Z,3,FALSE)</f>
        <v xml:space="preserve">Professionnels de l'animation </v>
      </c>
      <c r="D85" s="16">
        <f>VLOOKUP(CONCATENATE($A$82,$A85),'D_Ch2-2_det-BMO'!$F:$K,4,FALSE)</f>
        <v>1355.2285819000001</v>
      </c>
      <c r="E85" s="36">
        <f>VLOOKUP(CONCATENATE($A$82,$A85),'D_Ch2-2_det-BMO'!$F:$Z,7,FALSE)</f>
        <v>0.32693120209937621</v>
      </c>
      <c r="F85" s="36">
        <f>VLOOKUP(CONCATENATE($A$82,$A85),'D_Ch2-2_det-BMO'!$F:$Z,8,FALSE)</f>
        <v>0.44482681039299582</v>
      </c>
      <c r="G85" s="57">
        <f t="shared" si="6"/>
        <v>3.4671814257214981E-2</v>
      </c>
      <c r="H85"/>
      <c r="I85"/>
      <c r="J85" s="56">
        <v>3</v>
      </c>
      <c r="K85" t="str">
        <f>VLOOKUP(CONCATENATE($J$82,$J85),'D_Ch2-2_det-BMO'!$F:$K,2,FALSE)</f>
        <v>T2A60</v>
      </c>
      <c r="L85" t="str">
        <f>VLOOKUP(CONCATENATE($J$82,$J85),'D_Ch2-2_det-BMO'!$F:$Z,3,FALSE)</f>
        <v>Aides à domicile</v>
      </c>
      <c r="M85" s="16">
        <f>VLOOKUP(CONCATENATE($J$82,$J85),'D_Ch2-2_det-BMO'!$F:$K,4,FALSE)</f>
        <v>1631.9267875</v>
      </c>
      <c r="N85" s="158">
        <f>VLOOKUP(CONCATENATE($J$82,$J85),'D_Ch2-2_det-BMO'!$F:$Z,7,FALSE)</f>
        <v>0.7570631700290047</v>
      </c>
      <c r="O85" s="158">
        <f>VLOOKUP(CONCATENATE($J$82,$J85),'D_Ch2-2_det-BMO'!$F:$Z,8,FALSE)</f>
        <v>0.19818226699094491</v>
      </c>
      <c r="P85" s="57">
        <f t="shared" si="7"/>
        <v>3.8549347990658102E-2</v>
      </c>
      <c r="Q85"/>
      <c r="R85"/>
      <c r="S85"/>
    </row>
    <row r="86" spans="1:19" s="23" customFormat="1">
      <c r="A86" s="56">
        <v>4</v>
      </c>
      <c r="B86" t="str">
        <f>VLOOKUP(CONCATENATE($A$82,$A86),'D_Ch2-2_det-BMO'!$F:$K,2,FALSE)</f>
        <v>S1Z20</v>
      </c>
      <c r="C86" t="str">
        <f>VLOOKUP(CONCATENATE($A$82,$A86),'D_Ch2-2_det-BMO'!$F:$Z,3,FALSE)</f>
        <v>Apprentis de restauration</v>
      </c>
      <c r="D86" s="16">
        <f>VLOOKUP(CONCATENATE($A$82,$A86),'D_Ch2-2_det-BMO'!$F:$K,4,FALSE)</f>
        <v>1112.1278262000001</v>
      </c>
      <c r="E86" s="36">
        <f>VLOOKUP(CONCATENATE($A$82,$A86),'D_Ch2-2_det-BMO'!$F:$Z,7,FALSE)</f>
        <v>0.49253124914751817</v>
      </c>
      <c r="F86" s="36">
        <f>VLOOKUP(CONCATENATE($A$82,$A86),'D_Ch2-2_det-BMO'!$F:$Z,8,FALSE)</f>
        <v>0.12636214894485301</v>
      </c>
      <c r="G86" s="57">
        <f t="shared" si="6"/>
        <v>2.8452387984783441E-2</v>
      </c>
      <c r="H86"/>
      <c r="I86"/>
      <c r="J86" s="56">
        <v>4</v>
      </c>
      <c r="K86" t="str">
        <f>VLOOKUP(CONCATENATE($J$82,$J86),'D_Ch2-2_det-BMO'!$F:$K,2,FALSE)</f>
        <v>T3Z61</v>
      </c>
      <c r="L86" t="str">
        <f>VLOOKUP(CONCATENATE($J$82,$J86),'D_Ch2-2_det-BMO'!$F:$Z,3,FALSE)</f>
        <v xml:space="preserve">Agents de sécurité </v>
      </c>
      <c r="M86" s="16">
        <f>VLOOKUP(CONCATENATE($J$82,$J86),'D_Ch2-2_det-BMO'!$F:$K,4,FALSE)</f>
        <v>1527.4977822000001</v>
      </c>
      <c r="N86" s="158">
        <f>VLOOKUP(CONCATENATE($J$82,$J86),'D_Ch2-2_det-BMO'!$F:$Z,7,FALSE)</f>
        <v>0.12086557822303069</v>
      </c>
      <c r="O86" s="158">
        <f>VLOOKUP(CONCATENATE($J$82,$J86),'D_Ch2-2_det-BMO'!$F:$Z,8,FALSE)</f>
        <v>8.2622357996638668E-2</v>
      </c>
      <c r="P86" s="57">
        <f t="shared" si="7"/>
        <v>3.6082527728583093E-2</v>
      </c>
      <c r="Q86"/>
      <c r="R86"/>
      <c r="S86"/>
    </row>
    <row r="87" spans="1:19" s="23" customFormat="1">
      <c r="A87" s="56">
        <v>5</v>
      </c>
      <c r="B87" t="str">
        <f>VLOOKUP(CONCATENATE($A$82,$A87),'D_Ch2-2_det-BMO'!$F:$K,2,FALSE)</f>
        <v>J0Z20</v>
      </c>
      <c r="C87" t="str">
        <f>VLOOKUP(CONCATENATE($A$82,$A87),'D_Ch2-2_det-BMO'!$F:$Z,3,FALSE)</f>
        <v>Manutentionnaires</v>
      </c>
      <c r="D87" s="16">
        <f>VLOOKUP(CONCATENATE($A$82,$A87),'D_Ch2-2_det-BMO'!$F:$K,4,FALSE)</f>
        <v>997.95615493000003</v>
      </c>
      <c r="E87" s="36">
        <f>VLOOKUP(CONCATENATE($A$82,$A87),'D_Ch2-2_det-BMO'!$F:$Z,7,FALSE)</f>
        <v>0.45547265786629987</v>
      </c>
      <c r="F87" s="36">
        <f>VLOOKUP(CONCATENATE($A$82,$A87),'D_Ch2-2_det-BMO'!$F:$Z,8,FALSE)</f>
        <v>0.35158365462920649</v>
      </c>
      <c r="G87" s="57">
        <f t="shared" si="6"/>
        <v>2.553144975150071E-2</v>
      </c>
      <c r="H87"/>
      <c r="I87"/>
      <c r="J87" s="56">
        <v>5</v>
      </c>
      <c r="K87" t="str">
        <f>VLOOKUP(CONCATENATE($J$82,$J87),'D_Ch2-2_det-BMO'!$F:$K,2,FALSE)</f>
        <v>V5Z81</v>
      </c>
      <c r="L87" t="str">
        <f>VLOOKUP(CONCATENATE($J$82,$J87),'D_Ch2-2_det-BMO'!$F:$Z,3,FALSE)</f>
        <v xml:space="preserve">Professionnels de l'animation </v>
      </c>
      <c r="M87" s="16">
        <f>VLOOKUP(CONCATENATE($J$82,$J87),'D_Ch2-2_det-BMO'!$F:$K,4,FALSE)</f>
        <v>1303.0742241</v>
      </c>
      <c r="N87" s="158">
        <f>VLOOKUP(CONCATENATE($J$82,$J87),'D_Ch2-2_det-BMO'!$F:$Z,7,FALSE)</f>
        <v>0.47504653491825599</v>
      </c>
      <c r="O87" s="158">
        <f>VLOOKUP(CONCATENATE($J$82,$J87),'D_Ch2-2_det-BMO'!$F:$Z,8,FALSE)</f>
        <v>0.55235750600248557</v>
      </c>
      <c r="P87" s="57">
        <f t="shared" si="7"/>
        <v>3.0781198094946831E-2</v>
      </c>
      <c r="Q87"/>
      <c r="R87"/>
      <c r="S87"/>
    </row>
    <row r="88" spans="1:19" s="23" customFormat="1">
      <c r="A88" s="56">
        <v>6</v>
      </c>
      <c r="B88" t="str">
        <f>VLOOKUP(CONCATENATE($A$82,$A88),'D_Ch2-2_det-BMO'!$F:$K,2,FALSE)</f>
        <v>T2A60</v>
      </c>
      <c r="C88" t="str">
        <f>VLOOKUP(CONCATENATE($A$82,$A88),'D_Ch2-2_det-BMO'!$F:$Z,3,FALSE)</f>
        <v>Aides à domicile</v>
      </c>
      <c r="D88" s="16">
        <f>VLOOKUP(CONCATENATE($A$82,$A88),'D_Ch2-2_det-BMO'!$F:$K,4,FALSE)</f>
        <v>972.74556901000005</v>
      </c>
      <c r="E88" s="36">
        <f>VLOOKUP(CONCATENATE($A$82,$A88),'D_Ch2-2_det-BMO'!$F:$Z,7,FALSE)</f>
        <v>0.83186810603881689</v>
      </c>
      <c r="F88" s="36">
        <f>VLOOKUP(CONCATENATE($A$82,$A88),'D_Ch2-2_det-BMO'!$F:$Z,8,FALSE)</f>
        <v>0.16650729977093828</v>
      </c>
      <c r="G88" s="57">
        <f t="shared" si="6"/>
        <v>2.488646870254118E-2</v>
      </c>
      <c r="H88"/>
      <c r="I88"/>
      <c r="J88" s="56">
        <v>6</v>
      </c>
      <c r="K88" t="str">
        <f>VLOOKUP(CONCATENATE($J$82,$J88),'D_Ch2-2_det-BMO'!$F:$K,2,FALSE)</f>
        <v>J0Z20</v>
      </c>
      <c r="L88" t="str">
        <f>VLOOKUP(CONCATENATE($J$82,$J88),'D_Ch2-2_det-BMO'!$F:$Z,3,FALSE)</f>
        <v>Manutentionnaires</v>
      </c>
      <c r="M88" s="16">
        <f>VLOOKUP(CONCATENATE($J$82,$J88),'D_Ch2-2_det-BMO'!$F:$K,4,FALSE)</f>
        <v>1244.6267402999999</v>
      </c>
      <c r="N88" s="158">
        <f>VLOOKUP(CONCATENATE($J$82,$J88),'D_Ch2-2_det-BMO'!$F:$Z,7,FALSE)</f>
        <v>0.27090850627934238</v>
      </c>
      <c r="O88" s="158">
        <f>VLOOKUP(CONCATENATE($J$82,$J88),'D_Ch2-2_det-BMO'!$F:$Z,8,FALSE)</f>
        <v>0.6080225552582883</v>
      </c>
      <c r="P88" s="57">
        <f t="shared" si="7"/>
        <v>2.940055258471768E-2</v>
      </c>
      <c r="Q88"/>
      <c r="R88"/>
      <c r="S88"/>
    </row>
    <row r="89" spans="1:19" s="23" customFormat="1">
      <c r="A89" s="56">
        <v>7</v>
      </c>
      <c r="B89" t="str">
        <f>VLOOKUP(CONCATENATE($A$82,$A89),'D_Ch2-2_det-BMO'!$F:$K,2,FALSE)</f>
        <v>R0Z60</v>
      </c>
      <c r="C89" t="str">
        <f>VLOOKUP(CONCATENATE($A$82,$A89),'D_Ch2-2_det-BMO'!$F:$Z,3,FALSE)</f>
        <v>Employés de libre service</v>
      </c>
      <c r="D89" s="16">
        <f>VLOOKUP(CONCATENATE($A$82,$A89),'D_Ch2-2_det-BMO'!$F:$K,4,FALSE)</f>
        <v>968.54396128999997</v>
      </c>
      <c r="E89" s="36">
        <f>VLOOKUP(CONCATENATE($A$82,$A89),'D_Ch2-2_det-BMO'!$F:$Z,7,FALSE)</f>
        <v>0.23015954890998874</v>
      </c>
      <c r="F89" s="36">
        <f>VLOOKUP(CONCATENATE($A$82,$A89),'D_Ch2-2_det-BMO'!$F:$Z,8,FALSE)</f>
        <v>0.19402526165121861</v>
      </c>
      <c r="G89" s="57">
        <f t="shared" si="6"/>
        <v>2.4778975867461441E-2</v>
      </c>
      <c r="H89"/>
      <c r="I89"/>
      <c r="J89" s="56">
        <v>7</v>
      </c>
      <c r="K89" t="str">
        <f>VLOOKUP(CONCATENATE($J$82,$J89),'D_Ch2-2_det-BMO'!$F:$K,2,FALSE)</f>
        <v>S1Z20</v>
      </c>
      <c r="L89" t="str">
        <f>VLOOKUP(CONCATENATE($J$82,$J89),'D_Ch2-2_det-BMO'!$F:$Z,3,FALSE)</f>
        <v>Apprentis de restauration</v>
      </c>
      <c r="M89" s="16">
        <f>VLOOKUP(CONCATENATE($J$82,$J89),'D_Ch2-2_det-BMO'!$F:$K,4,FALSE)</f>
        <v>1215.1425380999999</v>
      </c>
      <c r="N89" s="158">
        <f>VLOOKUP(CONCATENATE($J$82,$J89),'D_Ch2-2_det-BMO'!$F:$Z,7,FALSE)</f>
        <v>0.39969409549222007</v>
      </c>
      <c r="O89" s="158">
        <f>VLOOKUP(CONCATENATE($J$82,$J89),'D_Ch2-2_det-BMO'!$F:$Z,8,FALSE)</f>
        <v>0.20006411535071586</v>
      </c>
      <c r="P89" s="57">
        <f t="shared" si="7"/>
        <v>2.8704077240639336E-2</v>
      </c>
      <c r="Q89"/>
      <c r="R89"/>
      <c r="S89"/>
    </row>
    <row r="90" spans="1:19" s="23" customFormat="1">
      <c r="A90" s="56">
        <v>8</v>
      </c>
      <c r="B90" t="str">
        <f>VLOOKUP(CONCATENATE($A$82,$A90),'D_Ch2-2_det-BMO'!$F:$K,2,FALSE)</f>
        <v>V0Z60</v>
      </c>
      <c r="C90" t="str">
        <f>VLOOKUP(CONCATENATE($A$82,$A90),'D_Ch2-2_det-BMO'!$F:$Z,3,FALSE)</f>
        <v>Aides soignants</v>
      </c>
      <c r="D90" s="16">
        <f>VLOOKUP(CONCATENATE($A$82,$A90),'D_Ch2-2_det-BMO'!$F:$K,4,FALSE)</f>
        <v>938.84165422000001</v>
      </c>
      <c r="E90" s="36">
        <f>VLOOKUP(CONCATENATE($A$82,$A90),'D_Ch2-2_det-BMO'!$F:$Z,7,FALSE)</f>
        <v>0.55537272205203836</v>
      </c>
      <c r="F90" s="36">
        <f>VLOOKUP(CONCATENATE($A$82,$A90),'D_Ch2-2_det-BMO'!$F:$Z,8,FALSE)</f>
        <v>0.17288689483515915</v>
      </c>
      <c r="G90" s="57">
        <f t="shared" si="6"/>
        <v>2.4019079797163102E-2</v>
      </c>
      <c r="H90"/>
      <c r="I90"/>
      <c r="J90" s="56">
        <v>8</v>
      </c>
      <c r="K90" t="str">
        <f>VLOOKUP(CONCATENATE($J$82,$J90),'D_Ch2-2_det-BMO'!$F:$K,2,FALSE)</f>
        <v>U1Z91</v>
      </c>
      <c r="L90" t="str">
        <f>VLOOKUP(CONCATENATE($J$82,$J90),'D_Ch2-2_det-BMO'!$F:$Z,3,FALSE)</f>
        <v xml:space="preserve">Artistes </v>
      </c>
      <c r="M90" s="16">
        <f>VLOOKUP(CONCATENATE($J$82,$J90),'D_Ch2-2_det-BMO'!$F:$K,4,FALSE)</f>
        <v>1103.1463917999999</v>
      </c>
      <c r="N90" s="158">
        <f>VLOOKUP(CONCATENATE($J$82,$J90),'D_Ch2-2_det-BMO'!$F:$Z,7,FALSE)</f>
        <v>7.4193967427524155E-2</v>
      </c>
      <c r="O90" s="158">
        <f>VLOOKUP(CONCATENATE($J$82,$J90),'D_Ch2-2_det-BMO'!$F:$Z,8,FALSE)</f>
        <v>0.59043479805723464</v>
      </c>
      <c r="P90" s="57">
        <f t="shared" si="7"/>
        <v>2.6058506097129102E-2</v>
      </c>
      <c r="Q90"/>
      <c r="R90"/>
      <c r="S90"/>
    </row>
    <row r="91" spans="1:19" s="23" customFormat="1">
      <c r="A91" s="56">
        <v>9</v>
      </c>
      <c r="B91" t="str">
        <f>VLOOKUP(CONCATENATE($A$82,$A91),'D_Ch2-2_det-BMO'!$F:$K,2,FALSE)</f>
        <v>S2Z61</v>
      </c>
      <c r="C91" t="str">
        <f>VLOOKUP(CONCATENATE($A$82,$A91),'D_Ch2-2_det-BMO'!$F:$Z,3,FALSE)</f>
        <v xml:space="preserve">Serveurs </v>
      </c>
      <c r="D91" s="16">
        <f>VLOOKUP(CONCATENATE($A$82,$A91),'D_Ch2-2_det-BMO'!$F:$K,4,FALSE)</f>
        <v>934.92436324000005</v>
      </c>
      <c r="E91" s="36">
        <f>VLOOKUP(CONCATENATE($A$82,$A91),'D_Ch2-2_det-BMO'!$F:$Z,7,FALSE)</f>
        <v>0.38849228242516326</v>
      </c>
      <c r="F91" s="36">
        <f>VLOOKUP(CONCATENATE($A$82,$A91),'D_Ch2-2_det-BMO'!$F:$Z,8,FALSE)</f>
        <v>0.36177355548619317</v>
      </c>
      <c r="G91" s="57">
        <f t="shared" si="6"/>
        <v>2.3918860847338706E-2</v>
      </c>
      <c r="H91"/>
      <c r="I91"/>
      <c r="J91" s="56">
        <v>9</v>
      </c>
      <c r="K91" t="str">
        <f>VLOOKUP(CONCATENATE($J$82,$J91),'D_Ch2-2_det-BMO'!$F:$K,2,FALSE)</f>
        <v>R0Z60</v>
      </c>
      <c r="L91" t="str">
        <f>VLOOKUP(CONCATENATE($J$82,$J91),'D_Ch2-2_det-BMO'!$F:$Z,3,FALSE)</f>
        <v>Employés de libre service</v>
      </c>
      <c r="M91" s="16">
        <f>VLOOKUP(CONCATENATE($J$82,$J91),'D_Ch2-2_det-BMO'!$F:$K,4,FALSE)</f>
        <v>1010.7302486999999</v>
      </c>
      <c r="N91" s="158">
        <f>VLOOKUP(CONCATENATE($J$82,$J91),'D_Ch2-2_det-BMO'!$F:$Z,7,FALSE)</f>
        <v>0.21241334254726951</v>
      </c>
      <c r="O91" s="158">
        <f>VLOOKUP(CONCATENATE($J$82,$J91),'D_Ch2-2_det-BMO'!$F:$Z,8,FALSE)</f>
        <v>0.42580926025866156</v>
      </c>
      <c r="P91" s="57">
        <f t="shared" si="7"/>
        <v>2.3875453470256065E-2</v>
      </c>
      <c r="Q91"/>
      <c r="R91"/>
      <c r="S91"/>
    </row>
    <row r="92" spans="1:19" s="23" customFormat="1">
      <c r="A92" s="56">
        <v>10</v>
      </c>
      <c r="B92" t="str">
        <f>VLOOKUP(CONCATENATE($A$82,$A92),'D_Ch2-2_det-BMO'!$F:$K,2,FALSE)</f>
        <v>A1Z42</v>
      </c>
      <c r="C92" t="str">
        <f>VLOOKUP(CONCATENATE($A$82,$A92),'D_Ch2-2_det-BMO'!$F:$Z,3,FALSE)</f>
        <v>Viticulteurs, cueilleurs</v>
      </c>
      <c r="D92" s="16">
        <f>VLOOKUP(CONCATENATE($A$82,$A92),'D_Ch2-2_det-BMO'!$F:$K,4,FALSE)</f>
        <v>929.96587924000005</v>
      </c>
      <c r="E92" s="36">
        <f>VLOOKUP(CONCATENATE($A$82,$A92),'D_Ch2-2_det-BMO'!$F:$Z,7,FALSE)</f>
        <v>0.39906163057647537</v>
      </c>
      <c r="F92" s="36">
        <f>VLOOKUP(CONCATENATE($A$82,$A92),'D_Ch2-2_det-BMO'!$F:$Z,8,FALSE)</f>
        <v>0.92824435125024762</v>
      </c>
      <c r="G92" s="57">
        <f>D92/$B$78</f>
        <v>2.3792004287093833E-2</v>
      </c>
      <c r="H92"/>
      <c r="I92"/>
      <c r="J92" s="56">
        <v>10</v>
      </c>
      <c r="K92" t="str">
        <f>VLOOKUP(CONCATENATE($J$82,$J92),'D_Ch2-2_det-BMO'!$F:$K,2,FALSE)</f>
        <v>S2Z61</v>
      </c>
      <c r="L92" t="str">
        <f>VLOOKUP(CONCATENATE($J$82,$J92),'D_Ch2-2_det-BMO'!$F:$Z,3,FALSE)</f>
        <v xml:space="preserve">Serveurs </v>
      </c>
      <c r="M92" s="16">
        <f>VLOOKUP(CONCATENATE($J$82,$J92),'D_Ch2-2_det-BMO'!$F:$K,4,FALSE)</f>
        <v>982.62123960999998</v>
      </c>
      <c r="N92" s="158">
        <f>VLOOKUP(CONCATENATE($J$82,$J92),'D_Ch2-2_det-BMO'!$F:$Z,7,FALSE)</f>
        <v>0.47375665775834963</v>
      </c>
      <c r="O92" s="158">
        <f>VLOOKUP(CONCATENATE($J$82,$J92),'D_Ch2-2_det-BMO'!$F:$Z,8,FALSE)</f>
        <v>0.33232404188576914</v>
      </c>
      <c r="P92" s="57">
        <f t="shared" si="7"/>
        <v>2.3211462915420599E-2</v>
      </c>
      <c r="Q92"/>
      <c r="R92"/>
      <c r="S92"/>
    </row>
    <row r="93" spans="1:19" s="23" customFormat="1">
      <c r="A93"/>
      <c r="B93"/>
      <c r="C93"/>
      <c r="D93" s="16"/>
      <c r="E93" s="57"/>
      <c r="F93" s="57"/>
      <c r="G93"/>
      <c r="H93"/>
      <c r="I93"/>
      <c r="J93"/>
      <c r="K93"/>
      <c r="L93"/>
      <c r="M93"/>
      <c r="N93"/>
      <c r="O93"/>
      <c r="P93"/>
      <c r="Q93"/>
      <c r="R93"/>
      <c r="S93"/>
    </row>
    <row r="97" spans="1:19" s="61" customFormat="1" ht="15.75">
      <c r="A97" s="61" t="s">
        <v>248</v>
      </c>
    </row>
    <row r="98" spans="1:19">
      <c r="A98" s="865"/>
      <c r="B98" s="865"/>
      <c r="C98" s="865"/>
      <c r="D98" s="865"/>
      <c r="E98" s="865" t="s">
        <v>1932</v>
      </c>
      <c r="F98" s="865"/>
      <c r="G98" s="865"/>
      <c r="H98" s="865">
        <v>2016</v>
      </c>
      <c r="I98" s="867" t="s">
        <v>1932</v>
      </c>
      <c r="J98" s="865"/>
      <c r="K98" s="865"/>
      <c r="L98" s="865"/>
      <c r="M98" s="865"/>
      <c r="N98" s="865"/>
      <c r="O98" s="865"/>
      <c r="P98" s="865"/>
      <c r="Q98" s="865"/>
      <c r="R98" s="865"/>
      <c r="S98" s="865"/>
    </row>
    <row r="99" spans="1:19" s="55" customFormat="1" ht="45">
      <c r="B99" s="55" t="s">
        <v>232</v>
      </c>
      <c r="C99" s="55" t="s">
        <v>233</v>
      </c>
      <c r="D99" s="55" t="s">
        <v>1931</v>
      </c>
      <c r="E99" s="650" t="s">
        <v>1340</v>
      </c>
      <c r="F99" s="55" t="s">
        <v>1804</v>
      </c>
      <c r="G99" s="55" t="s">
        <v>1748</v>
      </c>
      <c r="H99" s="55" t="s">
        <v>1933</v>
      </c>
      <c r="I99" s="650" t="s">
        <v>1934</v>
      </c>
      <c r="K99" s="865" t="s">
        <v>232</v>
      </c>
      <c r="L99" s="865" t="s">
        <v>233</v>
      </c>
      <c r="N99" s="865"/>
      <c r="Q99" s="941" t="s">
        <v>1938</v>
      </c>
      <c r="R99" s="702" t="s">
        <v>1749</v>
      </c>
      <c r="S99" s="669" t="s">
        <v>1391</v>
      </c>
    </row>
    <row r="100" spans="1:19">
      <c r="A100" s="865" t="str">
        <f t="shared" ref="A100:A115" si="8">TEXT(B100,0)</f>
        <v>69</v>
      </c>
      <c r="B100" s="865">
        <v>69</v>
      </c>
      <c r="C100" s="865" t="s">
        <v>243</v>
      </c>
      <c r="D100" s="940">
        <v>112999</v>
      </c>
      <c r="E100" s="649">
        <v>73092</v>
      </c>
      <c r="F100" s="866">
        <f>VLOOKUP($A100,'D_Ch-1'!$A$40:$K$78,11,FALSE)</f>
        <v>864714.11788825586</v>
      </c>
      <c r="G100" s="16">
        <f t="shared" ref="G100:G115" si="9">(D100/F100)*100000</f>
        <v>13067.787105865489</v>
      </c>
      <c r="H100" s="827">
        <f t="shared" ref="H100:H115" si="10">G100/24</f>
        <v>544.49112941106205</v>
      </c>
      <c r="I100" s="651">
        <f t="shared" ref="I100:I115" si="11">((E100/F100)*100000)/19</f>
        <v>444.88083273299594</v>
      </c>
      <c r="J100" s="865"/>
      <c r="K100" s="865">
        <v>69</v>
      </c>
      <c r="L100" s="865" t="s">
        <v>243</v>
      </c>
      <c r="M100" s="867"/>
      <c r="N100" s="865"/>
      <c r="O100" s="16"/>
      <c r="P100" s="868"/>
      <c r="Q100" s="943">
        <f t="shared" ref="Q100:Q115" si="12">VLOOKUP($K100,$B$99:$I$115,7,FALSE)</f>
        <v>544.49112941106205</v>
      </c>
      <c r="R100" s="705">
        <f t="shared" ref="R100:R115" si="13">VLOOKUP($K100,$B$99:$I$115,8,FALSE)</f>
        <v>444.88083273299594</v>
      </c>
      <c r="S100" s="670">
        <v>435.09562933333331</v>
      </c>
    </row>
    <row r="101" spans="1:19">
      <c r="A101" s="867" t="str">
        <f t="shared" si="8"/>
        <v>31</v>
      </c>
      <c r="B101" s="865">
        <v>31</v>
      </c>
      <c r="C101" s="865" t="s">
        <v>236</v>
      </c>
      <c r="D101" s="940">
        <v>61478</v>
      </c>
      <c r="E101" s="649">
        <v>38368</v>
      </c>
      <c r="F101" s="868">
        <f>VLOOKUP($A101,'D_Ch-1'!$A$40:$K$78,11,FALSE)</f>
        <v>659406.30828331679</v>
      </c>
      <c r="G101" s="16">
        <f t="shared" si="9"/>
        <v>9323.2350415406872</v>
      </c>
      <c r="H101" s="827">
        <f t="shared" si="10"/>
        <v>388.46812673086197</v>
      </c>
      <c r="I101" s="651">
        <f t="shared" si="11"/>
        <v>306.2403855840883</v>
      </c>
      <c r="J101" s="865"/>
      <c r="K101" s="865">
        <v>31</v>
      </c>
      <c r="L101" s="865" t="s">
        <v>236</v>
      </c>
      <c r="M101" s="867"/>
      <c r="N101" s="865"/>
      <c r="O101" s="16"/>
      <c r="P101" s="868"/>
      <c r="Q101" s="943">
        <f t="shared" si="12"/>
        <v>388.46812673086197</v>
      </c>
      <c r="R101" s="705">
        <f t="shared" si="13"/>
        <v>306.2403855840883</v>
      </c>
      <c r="S101" s="670">
        <v>308.25708533333335</v>
      </c>
    </row>
    <row r="102" spans="1:19">
      <c r="A102" s="867" t="str">
        <f t="shared" si="8"/>
        <v>44</v>
      </c>
      <c r="B102" s="865">
        <v>44</v>
      </c>
      <c r="C102" s="865" t="s">
        <v>240</v>
      </c>
      <c r="D102" s="940">
        <v>48521</v>
      </c>
      <c r="E102" s="649">
        <v>31502</v>
      </c>
      <c r="F102" s="868">
        <f>VLOOKUP($A102,'D_Ch-1'!$A$40:$K$78,11,FALSE)</f>
        <v>641569.70642789674</v>
      </c>
      <c r="G102" s="16">
        <f t="shared" si="9"/>
        <v>7562.8570853435494</v>
      </c>
      <c r="H102" s="827">
        <f t="shared" si="10"/>
        <v>315.11904522264791</v>
      </c>
      <c r="I102" s="651">
        <f t="shared" si="11"/>
        <v>258.42866073451916</v>
      </c>
      <c r="J102" s="865"/>
      <c r="K102" s="865">
        <v>44</v>
      </c>
      <c r="L102" s="865" t="s">
        <v>240</v>
      </c>
      <c r="M102" s="867"/>
      <c r="N102" s="865"/>
      <c r="O102" s="16"/>
      <c r="P102" s="868"/>
      <c r="Q102" s="943">
        <f t="shared" si="12"/>
        <v>315.11904522264791</v>
      </c>
      <c r="R102" s="705">
        <f t="shared" si="13"/>
        <v>258.42866073451916</v>
      </c>
      <c r="S102" s="670">
        <v>262.42926533333332</v>
      </c>
    </row>
    <row r="103" spans="1:19">
      <c r="A103" s="867" t="str">
        <f t="shared" si="8"/>
        <v>13</v>
      </c>
      <c r="B103" s="865">
        <v>13</v>
      </c>
      <c r="C103" s="865" t="s">
        <v>235</v>
      </c>
      <c r="D103" s="940">
        <v>61742</v>
      </c>
      <c r="E103" s="649">
        <v>42358</v>
      </c>
      <c r="F103" s="868">
        <f>VLOOKUP($A103,'D_Ch-1'!$A$40:$K$78,11,FALSE)</f>
        <v>887568.21924771508</v>
      </c>
      <c r="G103" s="16">
        <f t="shared" si="9"/>
        <v>6956.3103613974899</v>
      </c>
      <c r="H103" s="827">
        <f t="shared" si="10"/>
        <v>289.84626505822877</v>
      </c>
      <c r="I103" s="651">
        <f t="shared" si="11"/>
        <v>251.17713463672681</v>
      </c>
      <c r="J103" s="865"/>
      <c r="K103" s="865">
        <v>13</v>
      </c>
      <c r="L103" s="865" t="s">
        <v>235</v>
      </c>
      <c r="M103" s="867"/>
      <c r="N103" s="865"/>
      <c r="O103" s="16"/>
      <c r="P103" s="868"/>
      <c r="Q103" s="943">
        <f t="shared" si="12"/>
        <v>289.84626505822877</v>
      </c>
      <c r="R103" s="705">
        <f t="shared" si="13"/>
        <v>251.17713463672681</v>
      </c>
      <c r="S103" s="670">
        <v>253.05848266666666</v>
      </c>
    </row>
    <row r="104" spans="1:19">
      <c r="A104" s="867" t="str">
        <f t="shared" si="8"/>
        <v>35</v>
      </c>
      <c r="B104" s="865">
        <v>35</v>
      </c>
      <c r="C104" s="865" t="s">
        <v>238</v>
      </c>
      <c r="D104" s="940">
        <v>28318</v>
      </c>
      <c r="E104" s="649">
        <v>17263</v>
      </c>
      <c r="F104" s="868">
        <f>VLOOKUP($A104,'D_Ch-1'!$A$40:$K$78,11,FALSE)</f>
        <v>489154.68559040216</v>
      </c>
      <c r="G104" s="16">
        <f t="shared" si="9"/>
        <v>5789.1707539958679</v>
      </c>
      <c r="H104" s="827">
        <f t="shared" si="10"/>
        <v>241.21544808316116</v>
      </c>
      <c r="I104" s="651">
        <f t="shared" si="11"/>
        <v>185.74470901199288</v>
      </c>
      <c r="J104" s="865"/>
      <c r="K104" s="865">
        <v>35</v>
      </c>
      <c r="L104" s="865" t="s">
        <v>242</v>
      </c>
      <c r="M104" s="867"/>
      <c r="N104" s="865"/>
      <c r="O104" s="16"/>
      <c r="P104" s="868"/>
      <c r="Q104" s="943">
        <f t="shared" si="12"/>
        <v>241.21544808316116</v>
      </c>
      <c r="R104" s="705">
        <f t="shared" si="13"/>
        <v>185.74470901199288</v>
      </c>
      <c r="S104" s="670">
        <v>191.63233</v>
      </c>
    </row>
    <row r="105" spans="1:19">
      <c r="A105" s="867" t="str">
        <f t="shared" si="8"/>
        <v>38</v>
      </c>
      <c r="B105" s="865">
        <v>38</v>
      </c>
      <c r="C105" s="865" t="s">
        <v>239</v>
      </c>
      <c r="D105" s="940">
        <v>32026</v>
      </c>
      <c r="E105" s="649">
        <v>22044</v>
      </c>
      <c r="F105" s="868">
        <f>VLOOKUP($A105,'D_Ch-1'!$A$40:$K$78,11,FALSE)</f>
        <v>591661.98971776501</v>
      </c>
      <c r="G105" s="16">
        <f t="shared" si="9"/>
        <v>5412.887857690007</v>
      </c>
      <c r="H105" s="827">
        <f t="shared" si="10"/>
        <v>225.53699407041697</v>
      </c>
      <c r="I105" s="651">
        <f t="shared" si="11"/>
        <v>196.09347000121369</v>
      </c>
      <c r="J105" s="865"/>
      <c r="K105" s="865">
        <v>38</v>
      </c>
      <c r="L105" s="865" t="s">
        <v>239</v>
      </c>
      <c r="M105" s="867"/>
      <c r="N105" s="865"/>
      <c r="O105" s="16"/>
      <c r="P105" s="868"/>
      <c r="Q105" s="943">
        <f t="shared" si="12"/>
        <v>225.53699407041697</v>
      </c>
      <c r="R105" s="705">
        <f t="shared" si="13"/>
        <v>196.09347000121369</v>
      </c>
      <c r="S105" s="670">
        <v>170.89712533333335</v>
      </c>
    </row>
    <row r="106" spans="1:19">
      <c r="A106" s="867" t="str">
        <f t="shared" si="8"/>
        <v>33</v>
      </c>
      <c r="B106" s="865">
        <v>33</v>
      </c>
      <c r="C106" s="865" t="s">
        <v>114</v>
      </c>
      <c r="D106" s="940">
        <v>39102</v>
      </c>
      <c r="E106" s="649">
        <v>23513</v>
      </c>
      <c r="F106" s="868">
        <f>VLOOKUP($A106,'D_Ch-1'!$A$40:$K$78,11,FALSE)</f>
        <v>727865.7851427627</v>
      </c>
      <c r="G106" s="16">
        <f t="shared" si="9"/>
        <v>5372.1442604051763</v>
      </c>
      <c r="H106" s="827">
        <f t="shared" si="10"/>
        <v>223.839344183549</v>
      </c>
      <c r="I106" s="651">
        <f t="shared" si="11"/>
        <v>170.02122383685708</v>
      </c>
      <c r="J106" s="865"/>
      <c r="K106" s="865">
        <v>33</v>
      </c>
      <c r="L106" s="865" t="s">
        <v>241</v>
      </c>
      <c r="M106" s="867"/>
      <c r="N106" s="865"/>
      <c r="O106" s="16"/>
      <c r="P106" s="868"/>
      <c r="Q106" s="943">
        <f t="shared" si="12"/>
        <v>223.839344183549</v>
      </c>
      <c r="R106" s="705">
        <f t="shared" si="13"/>
        <v>170.02122383685708</v>
      </c>
      <c r="S106" s="670">
        <v>197.38482199999999</v>
      </c>
    </row>
    <row r="107" spans="1:19">
      <c r="A107" s="867" t="str">
        <f t="shared" si="8"/>
        <v>99</v>
      </c>
      <c r="B107" s="865">
        <v>99</v>
      </c>
      <c r="C107" s="865" t="s">
        <v>1462</v>
      </c>
      <c r="D107" s="940">
        <v>1571511</v>
      </c>
      <c r="E107" s="649">
        <v>1039517</v>
      </c>
      <c r="F107" s="868">
        <v>29857720.948420499</v>
      </c>
      <c r="G107" s="16">
        <f t="shared" si="9"/>
        <v>5263.3320631363677</v>
      </c>
      <c r="H107" s="827">
        <f t="shared" si="10"/>
        <v>219.30550263068199</v>
      </c>
      <c r="I107" s="651">
        <f t="shared" si="11"/>
        <v>183.24044607137327</v>
      </c>
      <c r="J107" s="865"/>
      <c r="K107" s="865">
        <v>99</v>
      </c>
      <c r="L107" s="867" t="s">
        <v>114</v>
      </c>
      <c r="M107" s="867"/>
      <c r="N107" s="865"/>
      <c r="O107" s="16"/>
      <c r="P107" s="868"/>
      <c r="Q107" s="943">
        <f t="shared" si="12"/>
        <v>219.30550263068199</v>
      </c>
      <c r="R107" s="705">
        <f t="shared" si="13"/>
        <v>183.24044607137327</v>
      </c>
      <c r="S107" s="670">
        <v>183.74266600000001</v>
      </c>
    </row>
    <row r="108" spans="1:19">
      <c r="A108" s="867" t="str">
        <f t="shared" si="8"/>
        <v>59</v>
      </c>
      <c r="B108" s="865">
        <v>59</v>
      </c>
      <c r="C108" s="865" t="s">
        <v>241</v>
      </c>
      <c r="D108" s="940">
        <v>61559</v>
      </c>
      <c r="E108" s="649">
        <v>42113</v>
      </c>
      <c r="F108" s="868">
        <f>VLOOKUP($A108,'D_Ch-1'!$A$40:$K$78,11,FALSE)</f>
        <v>1178341.1942957868</v>
      </c>
      <c r="G108" s="16">
        <f t="shared" si="9"/>
        <v>5224.208429443016</v>
      </c>
      <c r="H108" s="827">
        <f t="shared" si="10"/>
        <v>217.67535122679234</v>
      </c>
      <c r="I108" s="651">
        <f t="shared" si="11"/>
        <v>188.10117943259718</v>
      </c>
      <c r="J108" s="865"/>
      <c r="K108" s="865">
        <v>59</v>
      </c>
      <c r="L108" s="865" t="s">
        <v>238</v>
      </c>
      <c r="M108" s="867"/>
      <c r="N108" s="865"/>
      <c r="O108" s="16"/>
      <c r="P108" s="868"/>
      <c r="Q108" s="943">
        <f t="shared" si="12"/>
        <v>217.67535122679234</v>
      </c>
      <c r="R108" s="705">
        <f t="shared" si="13"/>
        <v>188.10117943259718</v>
      </c>
      <c r="S108" s="670">
        <v>190.31471266666668</v>
      </c>
    </row>
    <row r="109" spans="1:19">
      <c r="A109" s="867" t="str">
        <f t="shared" si="8"/>
        <v>6</v>
      </c>
      <c r="B109" s="865">
        <v>6</v>
      </c>
      <c r="C109" s="865" t="s">
        <v>234</v>
      </c>
      <c r="D109" s="940">
        <v>24921</v>
      </c>
      <c r="E109" s="649">
        <v>16368</v>
      </c>
      <c r="F109" s="868">
        <f>VLOOKUP($A109,'D_Ch-1'!$A$40:$K$78,11,FALSE)</f>
        <v>488910.23553737771</v>
      </c>
      <c r="G109" s="16">
        <f t="shared" si="9"/>
        <v>5097.2547082407655</v>
      </c>
      <c r="H109" s="827">
        <f t="shared" si="10"/>
        <v>212.38561284336524</v>
      </c>
      <c r="I109" s="651">
        <f t="shared" si="11"/>
        <v>176.20283266592929</v>
      </c>
      <c r="J109" s="865"/>
      <c r="K109" s="55">
        <v>6</v>
      </c>
      <c r="L109" s="55" t="s">
        <v>234</v>
      </c>
      <c r="M109" s="867"/>
      <c r="N109" s="55"/>
      <c r="O109" s="16"/>
      <c r="P109" s="868"/>
      <c r="Q109" s="943">
        <f t="shared" si="12"/>
        <v>212.38561284336524</v>
      </c>
      <c r="R109" s="705">
        <f t="shared" si="13"/>
        <v>176.20283266592929</v>
      </c>
      <c r="S109" s="670">
        <v>169.06989066666665</v>
      </c>
    </row>
    <row r="110" spans="1:19">
      <c r="A110" s="867" t="str">
        <f t="shared" si="8"/>
        <v>67</v>
      </c>
      <c r="B110" s="865">
        <v>67</v>
      </c>
      <c r="C110" s="865" t="s">
        <v>242</v>
      </c>
      <c r="D110" s="940">
        <v>27855</v>
      </c>
      <c r="E110" s="649">
        <v>21984</v>
      </c>
      <c r="F110" s="868">
        <f>VLOOKUP($A110,'D_Ch-1'!$A$40:$K$78,11,FALSE)</f>
        <v>547089.31395729457</v>
      </c>
      <c r="G110" s="16">
        <f t="shared" si="9"/>
        <v>5091.4904183587005</v>
      </c>
      <c r="H110" s="827">
        <f t="shared" si="10"/>
        <v>212.1454340982792</v>
      </c>
      <c r="I110" s="651">
        <f t="shared" si="11"/>
        <v>211.49245690974439</v>
      </c>
      <c r="J110" s="865"/>
      <c r="K110" s="867">
        <v>67</v>
      </c>
      <c r="L110" s="867" t="s">
        <v>1462</v>
      </c>
      <c r="M110" s="867"/>
      <c r="N110" s="867"/>
      <c r="O110" s="16"/>
      <c r="P110" s="868"/>
      <c r="Q110" s="943">
        <f t="shared" si="12"/>
        <v>212.1454340982792</v>
      </c>
      <c r="R110" s="705">
        <f t="shared" si="13"/>
        <v>211.49245690974439</v>
      </c>
      <c r="S110" s="670">
        <v>189.20488533333335</v>
      </c>
    </row>
    <row r="111" spans="1:19">
      <c r="A111" s="867" t="str">
        <f t="shared" si="8"/>
        <v>34</v>
      </c>
      <c r="B111" s="865">
        <v>34</v>
      </c>
      <c r="C111" s="865" t="s">
        <v>237</v>
      </c>
      <c r="D111" s="940">
        <v>22473</v>
      </c>
      <c r="E111" s="649">
        <v>14714</v>
      </c>
      <c r="F111" s="868">
        <f>VLOOKUP($A111,'D_Ch-1'!$A$40:$K$78,11,FALSE)</f>
        <v>489414.41032930999</v>
      </c>
      <c r="G111" s="16">
        <f t="shared" si="9"/>
        <v>4591.8141202419229</v>
      </c>
      <c r="H111" s="827">
        <f t="shared" si="10"/>
        <v>191.32558834341344</v>
      </c>
      <c r="I111" s="651">
        <f t="shared" si="11"/>
        <v>158.23421548018945</v>
      </c>
      <c r="J111" s="865"/>
      <c r="K111" s="865">
        <v>34</v>
      </c>
      <c r="L111" s="865" t="s">
        <v>244</v>
      </c>
      <c r="M111" s="867"/>
      <c r="N111" s="865"/>
      <c r="O111" s="16"/>
      <c r="P111" s="868"/>
      <c r="Q111" s="943">
        <f t="shared" si="12"/>
        <v>191.32558834341344</v>
      </c>
      <c r="R111" s="705">
        <f t="shared" si="13"/>
        <v>158.23421548018945</v>
      </c>
      <c r="S111" s="670">
        <v>146.96942266666667</v>
      </c>
    </row>
    <row r="112" spans="1:19">
      <c r="A112" s="867" t="str">
        <f t="shared" si="8"/>
        <v>76</v>
      </c>
      <c r="B112" s="865">
        <v>76</v>
      </c>
      <c r="C112" s="865" t="s">
        <v>244</v>
      </c>
      <c r="D112" s="940">
        <v>22733</v>
      </c>
      <c r="E112" s="649">
        <v>14643</v>
      </c>
      <c r="F112" s="868">
        <f>VLOOKUP($A112,'D_Ch-1'!$A$40:$K$78,11,FALSE)</f>
        <v>577671.18156313733</v>
      </c>
      <c r="G112" s="16">
        <f t="shared" si="9"/>
        <v>3935.2837263728666</v>
      </c>
      <c r="H112" s="827">
        <f t="shared" si="10"/>
        <v>163.97015526553611</v>
      </c>
      <c r="I112" s="651">
        <f t="shared" si="11"/>
        <v>133.41226551078745</v>
      </c>
      <c r="J112" s="865"/>
      <c r="K112" s="865">
        <v>76</v>
      </c>
      <c r="L112" s="865" t="s">
        <v>237</v>
      </c>
      <c r="M112" s="867"/>
      <c r="N112" s="865"/>
      <c r="O112" s="16"/>
      <c r="P112" s="868"/>
      <c r="Q112" s="943">
        <f t="shared" si="12"/>
        <v>163.97015526553611</v>
      </c>
      <c r="R112" s="705">
        <f t="shared" si="13"/>
        <v>133.41226551078745</v>
      </c>
      <c r="S112" s="670">
        <v>147.20994133333335</v>
      </c>
    </row>
    <row r="113" spans="1:19">
      <c r="A113" s="867" t="str">
        <f t="shared" si="8"/>
        <v>84</v>
      </c>
      <c r="B113" s="865">
        <v>84</v>
      </c>
      <c r="C113" s="865" t="s">
        <v>246</v>
      </c>
      <c r="D113" s="940">
        <v>7709</v>
      </c>
      <c r="E113" s="649">
        <v>5748</v>
      </c>
      <c r="F113" s="868">
        <f>VLOOKUP($A113,'D_Ch-1'!$A$40:$K$78,11,FALSE)</f>
        <v>247120.50894494457</v>
      </c>
      <c r="G113" s="16">
        <f t="shared" si="9"/>
        <v>3119.5306423221518</v>
      </c>
      <c r="H113" s="827">
        <f t="shared" si="10"/>
        <v>129.98044343008965</v>
      </c>
      <c r="I113" s="651">
        <f t="shared" si="11"/>
        <v>122.42056196836047</v>
      </c>
      <c r="J113" s="865"/>
      <c r="K113" s="865">
        <v>84</v>
      </c>
      <c r="L113" s="865" t="s">
        <v>246</v>
      </c>
      <c r="M113" s="867"/>
      <c r="N113" s="865"/>
      <c r="O113" s="16"/>
      <c r="P113" s="868"/>
      <c r="Q113" s="943">
        <f t="shared" si="12"/>
        <v>129.98044343008965</v>
      </c>
      <c r="R113" s="705">
        <f t="shared" si="13"/>
        <v>122.42056196836047</v>
      </c>
      <c r="S113" s="670">
        <v>113.76365933333334</v>
      </c>
    </row>
    <row r="114" spans="1:19">
      <c r="A114" s="867" t="str">
        <f t="shared" si="8"/>
        <v>83</v>
      </c>
      <c r="B114" s="865">
        <v>83</v>
      </c>
      <c r="C114" s="865" t="s">
        <v>245</v>
      </c>
      <c r="D114" s="940">
        <v>11586</v>
      </c>
      <c r="E114" s="649">
        <v>5886</v>
      </c>
      <c r="F114" s="868">
        <f>VLOOKUP($A114,'D_Ch-1'!$A$40:$K$78,11,FALSE)</f>
        <v>444865.29372791975</v>
      </c>
      <c r="G114" s="16">
        <f t="shared" si="9"/>
        <v>2604.3838805474484</v>
      </c>
      <c r="H114" s="827">
        <f t="shared" si="10"/>
        <v>108.51599502281034</v>
      </c>
      <c r="I114" s="651">
        <f t="shared" si="11"/>
        <v>69.636691837254943</v>
      </c>
      <c r="J114" s="865"/>
      <c r="K114" s="865">
        <v>83</v>
      </c>
      <c r="L114" s="865" t="s">
        <v>245</v>
      </c>
      <c r="M114" s="867"/>
      <c r="N114" s="865"/>
      <c r="O114" s="16"/>
      <c r="P114" s="868"/>
      <c r="Q114" s="943">
        <f t="shared" si="12"/>
        <v>108.51599502281034</v>
      </c>
      <c r="R114" s="705">
        <f t="shared" si="13"/>
        <v>69.636691837254943</v>
      </c>
      <c r="S114" s="670">
        <v>74.419531333333325</v>
      </c>
    </row>
    <row r="115" spans="1:19">
      <c r="A115" s="867" t="str">
        <f t="shared" si="8"/>
        <v>62</v>
      </c>
      <c r="B115" s="865">
        <v>62</v>
      </c>
      <c r="C115" s="865" t="s">
        <v>247</v>
      </c>
      <c r="D115" s="940">
        <v>10797</v>
      </c>
      <c r="E115" s="649">
        <v>7924</v>
      </c>
      <c r="F115" s="868">
        <f>VLOOKUP($A115,'D_Ch-1'!$A$40:$K$78,11,FALSE)</f>
        <v>644584.07742018392</v>
      </c>
      <c r="G115" s="16">
        <f t="shared" si="9"/>
        <v>1675.0336190761627</v>
      </c>
      <c r="H115" s="827">
        <f t="shared" si="10"/>
        <v>69.79306746150678</v>
      </c>
      <c r="I115" s="651">
        <f t="shared" si="11"/>
        <v>64.701044625259016</v>
      </c>
      <c r="J115" s="865"/>
      <c r="K115" s="865">
        <v>62</v>
      </c>
      <c r="L115" s="865" t="s">
        <v>247</v>
      </c>
      <c r="M115" s="867"/>
      <c r="N115" s="865"/>
      <c r="O115" s="16"/>
      <c r="P115" s="868"/>
      <c r="Q115" s="943">
        <f t="shared" si="12"/>
        <v>69.79306746150678</v>
      </c>
      <c r="R115" s="705">
        <f t="shared" si="13"/>
        <v>64.701044625259016</v>
      </c>
      <c r="S115" s="670">
        <v>55.756884599999999</v>
      </c>
    </row>
    <row r="116" spans="1:19">
      <c r="O116" s="16"/>
      <c r="P116" s="16"/>
      <c r="Q116" s="16"/>
    </row>
    <row r="118" spans="1:19">
      <c r="A118" s="156" t="s">
        <v>1937</v>
      </c>
      <c r="B118" s="16"/>
      <c r="C118" s="16"/>
      <c r="D118" s="16"/>
    </row>
    <row r="119" spans="1:19" ht="60">
      <c r="A119" s="941"/>
      <c r="B119" s="941" t="s">
        <v>1514</v>
      </c>
      <c r="C119" s="941" t="s">
        <v>276</v>
      </c>
      <c r="D119" s="941" t="s">
        <v>277</v>
      </c>
      <c r="E119" s="941" t="s">
        <v>1515</v>
      </c>
      <c r="F119" s="941" t="s">
        <v>1516</v>
      </c>
      <c r="G119" s="941" t="s">
        <v>1517</v>
      </c>
      <c r="H119" s="941" t="s">
        <v>281</v>
      </c>
      <c r="I119" s="941" t="s">
        <v>282</v>
      </c>
      <c r="J119" s="941" t="s">
        <v>1518</v>
      </c>
      <c r="K119" s="940" t="s">
        <v>1519</v>
      </c>
      <c r="L119" s="940" t="s">
        <v>1520</v>
      </c>
      <c r="M119" s="940" t="s">
        <v>91</v>
      </c>
    </row>
    <row r="120" spans="1:19">
      <c r="A120" s="940" t="s">
        <v>243</v>
      </c>
      <c r="B120" s="942">
        <f t="shared" ref="B120:B135" si="14">((VLOOKUP($A120,$A$139:$M$155,2,FALSE)/VLOOKUP($A120,$C$99:$F$115,4,FALSE))*100000)/24</f>
        <v>2.8718547343692684</v>
      </c>
      <c r="C120" s="942">
        <f t="shared" ref="C120:C135" si="15">((VLOOKUP($A120,$A$139:$M$155,3,FALSE)/VLOOKUP($A120,$C$99:$F$115,4,FALSE))*100000)/24</f>
        <v>56.88778019121407</v>
      </c>
      <c r="D120" s="942">
        <f t="shared" ref="D120:D135" si="16">((VLOOKUP($A120,$A$139:$M$155,4,FALSE)/VLOOKUP($A120,$C$99:$F$115,4,FALSE))*100000)/24</f>
        <v>23.196491092707479</v>
      </c>
      <c r="E120" s="942">
        <f t="shared" ref="E120:E135" si="17">((VLOOKUP($A120,$A$139:$M$155,5,FALSE)/VLOOKUP($A120,$C$99:$F$115,4,FALSE))*100000)/24</f>
        <v>26.121349857409069</v>
      </c>
      <c r="F120" s="942">
        <f t="shared" ref="F120:F135" si="18">((VLOOKUP($A120,$A$139:$M$155,6,FALSE)/VLOOKUP($A120,$C$99:$F$115,4,FALSE))*100000)/24</f>
        <v>1.2913709208237649</v>
      </c>
      <c r="G120" s="942">
        <f t="shared" ref="G120:G135" si="19">((VLOOKUP($A120,$A$139:$M$155,7,FALSE)/VLOOKUP($A120,$C$99:$F$115,4,FALSE))*100000)/24</f>
        <v>3.3247982662999918</v>
      </c>
      <c r="H120" s="942">
        <f t="shared" ref="H120:H135" si="20">((VLOOKUP($A120,$A$139:$M$155,8,FALSE)/VLOOKUP($A120,$C$99:$F$115,4,FALSE))*100000)/24</f>
        <v>13.053447106386491</v>
      </c>
      <c r="I120" s="942">
        <f t="shared" ref="I120:I135" si="21">((VLOOKUP($A120,$A$139:$M$155,9,FALSE)/VLOOKUP($A120,$C$99:$F$115,4,FALSE))*100000)/24</f>
        <v>20.888406499145599</v>
      </c>
      <c r="J120" s="942">
        <f t="shared" ref="J120:J135" si="22">((VLOOKUP($A120,$A$139:$M$155,10,FALSE)/VLOOKUP($A120,$C$99:$F$115,4,FALSE))*100000)/24</f>
        <v>8.3168142139620098</v>
      </c>
      <c r="K120" s="942">
        <f t="shared" ref="K120:K135" si="23">((VLOOKUP($A120,$A$139:$M$155,11,FALSE)/VLOOKUP($A120,$C$99:$F$115,4,FALSE))*100000)/24</f>
        <v>369.62119624831854</v>
      </c>
      <c r="L120" s="942">
        <f t="shared" ref="L120:L135" si="24">((VLOOKUP($A120,$A$139:$M$155,12,FALSE)/VLOOKUP($A120,$C$99:$F$115,4,FALSE))*100000)/24</f>
        <v>18.917620280425748</v>
      </c>
      <c r="M120" s="944">
        <f t="shared" ref="M120:M135" si="25">((VLOOKUP($A120,$A$139:$M$155,13,FALSE)/VLOOKUP($A120,$C$99:$F$115,4,FALSE))*100000)/24</f>
        <v>544.49112941106205</v>
      </c>
    </row>
    <row r="121" spans="1:19">
      <c r="A121" s="940" t="s">
        <v>236</v>
      </c>
      <c r="B121" s="942">
        <f t="shared" si="14"/>
        <v>1.9019634039166766</v>
      </c>
      <c r="C121" s="942">
        <f t="shared" si="15"/>
        <v>37.110402229909106</v>
      </c>
      <c r="D121" s="942">
        <f t="shared" si="16"/>
        <v>18.166593974287192</v>
      </c>
      <c r="E121" s="942">
        <f t="shared" si="17"/>
        <v>12.334327456629078</v>
      </c>
      <c r="F121" s="942">
        <f t="shared" si="18"/>
        <v>1.2574442437854441</v>
      </c>
      <c r="G121" s="942">
        <f t="shared" si="19"/>
        <v>1.1879372755359974</v>
      </c>
      <c r="H121" s="942">
        <f t="shared" si="20"/>
        <v>9.6930626631501067</v>
      </c>
      <c r="I121" s="942">
        <f t="shared" si="21"/>
        <v>14.91240409715401</v>
      </c>
      <c r="J121" s="942">
        <f t="shared" si="22"/>
        <v>5.661658504682201</v>
      </c>
      <c r="K121" s="942">
        <f t="shared" si="23"/>
        <v>275.29814479017199</v>
      </c>
      <c r="L121" s="942">
        <f t="shared" si="24"/>
        <v>10.944188091640145</v>
      </c>
      <c r="M121" s="944">
        <f t="shared" si="25"/>
        <v>388.46812673086197</v>
      </c>
    </row>
    <row r="122" spans="1:19">
      <c r="A122" s="940" t="s">
        <v>240</v>
      </c>
      <c r="B122" s="942">
        <f t="shared" si="14"/>
        <v>2.5263557756767177</v>
      </c>
      <c r="C122" s="942">
        <f t="shared" si="15"/>
        <v>33.316722697227668</v>
      </c>
      <c r="D122" s="942">
        <f t="shared" si="16"/>
        <v>14.255400842186107</v>
      </c>
      <c r="E122" s="942">
        <f t="shared" si="17"/>
        <v>14.333334696448629</v>
      </c>
      <c r="F122" s="942">
        <f t="shared" si="18"/>
        <v>0.26627400206361296</v>
      </c>
      <c r="G122" s="942">
        <f t="shared" si="19"/>
        <v>2.0587526501015927</v>
      </c>
      <c r="H122" s="942">
        <f t="shared" si="20"/>
        <v>7.066002786468558</v>
      </c>
      <c r="I122" s="942">
        <f t="shared" si="21"/>
        <v>15.26204645974367</v>
      </c>
      <c r="J122" s="942">
        <f t="shared" si="22"/>
        <v>4.9487997456700743</v>
      </c>
      <c r="K122" s="942">
        <f t="shared" si="23"/>
        <v>210.83705373153975</v>
      </c>
      <c r="L122" s="942">
        <f t="shared" si="24"/>
        <v>10.248301835521493</v>
      </c>
      <c r="M122" s="944">
        <f t="shared" si="25"/>
        <v>315.11904522264791</v>
      </c>
    </row>
    <row r="123" spans="1:19">
      <c r="A123" s="940" t="s">
        <v>235</v>
      </c>
      <c r="B123" s="942">
        <f t="shared" si="14"/>
        <v>2.4270434879839375</v>
      </c>
      <c r="C123" s="942">
        <f t="shared" si="15"/>
        <v>23.594430504075959</v>
      </c>
      <c r="D123" s="942">
        <f t="shared" si="16"/>
        <v>14.149147142714869</v>
      </c>
      <c r="E123" s="942">
        <f t="shared" si="17"/>
        <v>12.440358303979565</v>
      </c>
      <c r="F123" s="942">
        <f t="shared" si="18"/>
        <v>1.5444822196261423</v>
      </c>
      <c r="G123" s="942">
        <f t="shared" si="19"/>
        <v>3.328382655668495</v>
      </c>
      <c r="H123" s="942">
        <f t="shared" si="20"/>
        <v>9.8537026717181515</v>
      </c>
      <c r="I123" s="942">
        <f t="shared" si="21"/>
        <v>11.177544574254846</v>
      </c>
      <c r="J123" s="942">
        <f t="shared" si="22"/>
        <v>5.055949393730562</v>
      </c>
      <c r="K123" s="942">
        <f t="shared" si="23"/>
        <v>197.52002854337366</v>
      </c>
      <c r="L123" s="942">
        <f t="shared" si="24"/>
        <v>8.7551955611025978</v>
      </c>
      <c r="M123" s="944">
        <f t="shared" si="25"/>
        <v>289.84626505822877</v>
      </c>
    </row>
    <row r="124" spans="1:19">
      <c r="A124" s="940" t="s">
        <v>238</v>
      </c>
      <c r="B124" s="942">
        <f t="shared" si="14"/>
        <v>6.0308121068888374</v>
      </c>
      <c r="C124" s="942">
        <f t="shared" si="15"/>
        <v>27.428269751669571</v>
      </c>
      <c r="D124" s="942">
        <f t="shared" si="16"/>
        <v>10.920199323490804</v>
      </c>
      <c r="E124" s="942">
        <f t="shared" si="17"/>
        <v>12.283094714878112</v>
      </c>
      <c r="F124" s="942">
        <f t="shared" si="18"/>
        <v>1.3628953913873076</v>
      </c>
      <c r="G124" s="942">
        <f t="shared" si="19"/>
        <v>1.7206554316264764</v>
      </c>
      <c r="H124" s="942">
        <f t="shared" si="20"/>
        <v>6.405608339520346</v>
      </c>
      <c r="I124" s="942">
        <f t="shared" si="21"/>
        <v>13.126386238299011</v>
      </c>
      <c r="J124" s="942">
        <f t="shared" si="22"/>
        <v>5.0086405633483571</v>
      </c>
      <c r="K124" s="942">
        <f t="shared" si="23"/>
        <v>145.27613062569085</v>
      </c>
      <c r="L124" s="942">
        <f t="shared" si="24"/>
        <v>11.65275559636148</v>
      </c>
      <c r="M124" s="944">
        <f t="shared" si="25"/>
        <v>241.21544808316116</v>
      </c>
    </row>
    <row r="125" spans="1:19">
      <c r="A125" s="940" t="s">
        <v>239</v>
      </c>
      <c r="B125" s="942">
        <f t="shared" si="14"/>
        <v>1.2746579631157642</v>
      </c>
      <c r="C125" s="942">
        <f t="shared" si="15"/>
        <v>42.535547498448707</v>
      </c>
      <c r="D125" s="942">
        <f t="shared" si="16"/>
        <v>8.9859865245067159</v>
      </c>
      <c r="E125" s="942">
        <f t="shared" si="17"/>
        <v>8.500067190501257</v>
      </c>
      <c r="F125" s="942">
        <f t="shared" si="18"/>
        <v>0.51408857075939673</v>
      </c>
      <c r="G125" s="942">
        <f t="shared" si="19"/>
        <v>0.36620007780121405</v>
      </c>
      <c r="H125" s="942">
        <f t="shared" si="20"/>
        <v>4.8239817941121474</v>
      </c>
      <c r="I125" s="942">
        <f t="shared" si="21"/>
        <v>5.6972281334842725</v>
      </c>
      <c r="J125" s="942">
        <f t="shared" si="22"/>
        <v>2.1197350657339507</v>
      </c>
      <c r="K125" s="942">
        <f t="shared" si="23"/>
        <v>141.06449535454075</v>
      </c>
      <c r="L125" s="942">
        <f t="shared" si="24"/>
        <v>9.6550058974127779</v>
      </c>
      <c r="M125" s="944">
        <f t="shared" si="25"/>
        <v>225.53699407041697</v>
      </c>
    </row>
    <row r="126" spans="1:19">
      <c r="A126" s="940" t="s">
        <v>114</v>
      </c>
      <c r="B126" s="942">
        <f t="shared" si="14"/>
        <v>2.3699424196202057</v>
      </c>
      <c r="C126" s="942">
        <f t="shared" si="15"/>
        <v>27.042531377502058</v>
      </c>
      <c r="D126" s="942">
        <f t="shared" si="16"/>
        <v>14.345593486879798</v>
      </c>
      <c r="E126" s="942">
        <f t="shared" si="17"/>
        <v>10.527352921936131</v>
      </c>
      <c r="F126" s="942">
        <f t="shared" si="18"/>
        <v>0.60107235280222626</v>
      </c>
      <c r="G126" s="942">
        <f t="shared" si="19"/>
        <v>1.2765631873799659</v>
      </c>
      <c r="H126" s="942">
        <f t="shared" si="20"/>
        <v>5.4325491696125008</v>
      </c>
      <c r="I126" s="942">
        <f t="shared" si="21"/>
        <v>8.9931872976409259</v>
      </c>
      <c r="J126" s="942">
        <f t="shared" si="22"/>
        <v>5.6901516065277411</v>
      </c>
      <c r="K126" s="942">
        <f t="shared" si="23"/>
        <v>137.9604162146062</v>
      </c>
      <c r="L126" s="942">
        <f t="shared" si="24"/>
        <v>9.5999841490412692</v>
      </c>
      <c r="M126" s="944">
        <f t="shared" si="25"/>
        <v>223.839344183549</v>
      </c>
    </row>
    <row r="127" spans="1:19">
      <c r="A127" s="940" t="s">
        <v>1462</v>
      </c>
      <c r="B127" s="942">
        <f t="shared" si="14"/>
        <v>2.9076789489942416</v>
      </c>
      <c r="C127" s="942">
        <f t="shared" si="15"/>
        <v>30.085601695849473</v>
      </c>
      <c r="D127" s="942">
        <f t="shared" si="16"/>
        <v>10.145058755710471</v>
      </c>
      <c r="E127" s="942">
        <f t="shared" si="17"/>
        <v>10.576828705229966</v>
      </c>
      <c r="F127" s="942">
        <f t="shared" si="18"/>
        <v>0.82655895636844379</v>
      </c>
      <c r="G127" s="942">
        <f t="shared" si="19"/>
        <v>1.7962969586990727</v>
      </c>
      <c r="H127" s="942">
        <f t="shared" si="20"/>
        <v>6.7545342910932655</v>
      </c>
      <c r="I127" s="942">
        <f t="shared" si="21"/>
        <v>11.266488398353864</v>
      </c>
      <c r="J127" s="942">
        <f t="shared" si="22"/>
        <v>3.4354597987300939</v>
      </c>
      <c r="K127" s="942">
        <f t="shared" si="23"/>
        <v>130.81624705205857</v>
      </c>
      <c r="L127" s="942">
        <f t="shared" si="24"/>
        <v>10.553384183084111</v>
      </c>
      <c r="M127" s="944">
        <f t="shared" si="25"/>
        <v>219.16413774417154</v>
      </c>
    </row>
    <row r="128" spans="1:19">
      <c r="A128" s="940" t="s">
        <v>241</v>
      </c>
      <c r="B128" s="942">
        <f t="shared" si="14"/>
        <v>3.0763585433049485</v>
      </c>
      <c r="C128" s="942">
        <f t="shared" si="15"/>
        <v>33.281248976535835</v>
      </c>
      <c r="D128" s="942">
        <f t="shared" si="16"/>
        <v>8.7764619591757267</v>
      </c>
      <c r="E128" s="942">
        <f t="shared" si="17"/>
        <v>10.77432699017262</v>
      </c>
      <c r="F128" s="942">
        <f t="shared" si="18"/>
        <v>0.24045101258015691</v>
      </c>
      <c r="G128" s="942">
        <f t="shared" si="19"/>
        <v>0.84511458833319841</v>
      </c>
      <c r="H128" s="942">
        <f t="shared" si="20"/>
        <v>5.7602161690158171</v>
      </c>
      <c r="I128" s="942">
        <f t="shared" si="21"/>
        <v>9.6816893006539644</v>
      </c>
      <c r="J128" s="942">
        <f t="shared" si="22"/>
        <v>2.9808853471334156</v>
      </c>
      <c r="K128" s="942">
        <f t="shared" si="23"/>
        <v>134.82229717141504</v>
      </c>
      <c r="L128" s="942">
        <f t="shared" si="24"/>
        <v>7.4363011684716165</v>
      </c>
      <c r="M128" s="944">
        <f t="shared" si="25"/>
        <v>217.67535122679234</v>
      </c>
    </row>
    <row r="129" spans="1:13">
      <c r="A129" s="940" t="s">
        <v>234</v>
      </c>
      <c r="B129" s="942">
        <f t="shared" si="14"/>
        <v>1.5936804141771717</v>
      </c>
      <c r="C129" s="942">
        <f t="shared" si="15"/>
        <v>17.010620891431202</v>
      </c>
      <c r="D129" s="942">
        <f t="shared" si="16"/>
        <v>7.371837209963922</v>
      </c>
      <c r="E129" s="942">
        <f t="shared" si="17"/>
        <v>8.76098110039643</v>
      </c>
      <c r="F129" s="942">
        <f t="shared" si="18"/>
        <v>0.57099779545385299</v>
      </c>
      <c r="G129" s="942">
        <f t="shared" si="19"/>
        <v>2.5226171261841865</v>
      </c>
      <c r="H129" s="942">
        <f t="shared" si="20"/>
        <v>5.9400815437512762</v>
      </c>
      <c r="I129" s="942">
        <f t="shared" si="21"/>
        <v>5.8463356370349722</v>
      </c>
      <c r="J129" s="942">
        <f t="shared" si="22"/>
        <v>4.0055069233329981</v>
      </c>
      <c r="K129" s="942">
        <f t="shared" si="23"/>
        <v>150.02754016671088</v>
      </c>
      <c r="L129" s="942">
        <f t="shared" si="24"/>
        <v>8.7354140349283469</v>
      </c>
      <c r="M129" s="944">
        <f t="shared" si="25"/>
        <v>212.38561284336524</v>
      </c>
    </row>
    <row r="130" spans="1:13">
      <c r="A130" s="940" t="s">
        <v>242</v>
      </c>
      <c r="B130" s="942">
        <f t="shared" si="14"/>
        <v>3.8689599900170819</v>
      </c>
      <c r="C130" s="942">
        <f t="shared" si="15"/>
        <v>37.661431398886755</v>
      </c>
      <c r="D130" s="942">
        <f t="shared" si="16"/>
        <v>11.89629036300528</v>
      </c>
      <c r="E130" s="942">
        <f t="shared" si="17"/>
        <v>12.239013196766635</v>
      </c>
      <c r="F130" s="942">
        <f t="shared" si="18"/>
        <v>0.45696377834847429</v>
      </c>
      <c r="G130" s="942">
        <f t="shared" si="19"/>
        <v>0.5788207859080674</v>
      </c>
      <c r="H130" s="942">
        <f t="shared" si="20"/>
        <v>4.7371911688791837</v>
      </c>
      <c r="I130" s="942">
        <f t="shared" si="21"/>
        <v>9.0707310002172132</v>
      </c>
      <c r="J130" s="942">
        <f t="shared" si="22"/>
        <v>3.3358355819438619</v>
      </c>
      <c r="K130" s="942">
        <f t="shared" si="23"/>
        <v>119.93775969052955</v>
      </c>
      <c r="L130" s="942">
        <f t="shared" si="24"/>
        <v>8.362437143777079</v>
      </c>
      <c r="M130" s="944">
        <f t="shared" si="25"/>
        <v>212.1454340982792</v>
      </c>
    </row>
    <row r="131" spans="1:13">
      <c r="A131" s="940" t="s">
        <v>237</v>
      </c>
      <c r="B131" s="942">
        <f t="shared" si="14"/>
        <v>1.787850912299952</v>
      </c>
      <c r="C131" s="942">
        <f t="shared" si="15"/>
        <v>17.776346213725237</v>
      </c>
      <c r="D131" s="942">
        <f t="shared" si="16"/>
        <v>13.408881842249642</v>
      </c>
      <c r="E131" s="942">
        <f t="shared" si="17"/>
        <v>9.8842614722868785</v>
      </c>
      <c r="F131" s="942">
        <f t="shared" si="18"/>
        <v>0.63851818296426865</v>
      </c>
      <c r="G131" s="942">
        <f t="shared" si="19"/>
        <v>1.4387943056128185</v>
      </c>
      <c r="H131" s="942">
        <f t="shared" si="20"/>
        <v>3.5757018245999039</v>
      </c>
      <c r="I131" s="942">
        <f t="shared" si="21"/>
        <v>5.7551772224512741</v>
      </c>
      <c r="J131" s="942">
        <f t="shared" si="22"/>
        <v>6.9981592852883843</v>
      </c>
      <c r="K131" s="942">
        <f t="shared" si="23"/>
        <v>123.19995500901241</v>
      </c>
      <c r="L131" s="942">
        <f t="shared" si="24"/>
        <v>6.8619420729226732</v>
      </c>
      <c r="M131" s="944">
        <f t="shared" si="25"/>
        <v>191.32558834341344</v>
      </c>
    </row>
    <row r="132" spans="1:13">
      <c r="A132" s="940" t="s">
        <v>244</v>
      </c>
      <c r="B132" s="942">
        <f t="shared" si="14"/>
        <v>2.8779348062705719</v>
      </c>
      <c r="C132" s="942">
        <f t="shared" si="15"/>
        <v>25.728304395907596</v>
      </c>
      <c r="D132" s="942">
        <f t="shared" si="16"/>
        <v>10.97798690512233</v>
      </c>
      <c r="E132" s="942">
        <f t="shared" si="17"/>
        <v>8.1361164447950003</v>
      </c>
      <c r="F132" s="942">
        <f t="shared" si="18"/>
        <v>0.56260379671454785</v>
      </c>
      <c r="G132" s="942">
        <f t="shared" si="19"/>
        <v>0.43277215131888297</v>
      </c>
      <c r="H132" s="942">
        <f t="shared" si="20"/>
        <v>6.0588101184643621</v>
      </c>
      <c r="I132" s="942">
        <f t="shared" si="21"/>
        <v>6.6142010459902627</v>
      </c>
      <c r="J132" s="942">
        <f t="shared" si="22"/>
        <v>2.5245042160268176</v>
      </c>
      <c r="K132" s="942">
        <f t="shared" si="23"/>
        <v>92.468982998468007</v>
      </c>
      <c r="L132" s="942">
        <f t="shared" si="24"/>
        <v>7.5879383864577479</v>
      </c>
      <c r="M132" s="944">
        <f t="shared" si="25"/>
        <v>163.97015526553611</v>
      </c>
    </row>
    <row r="133" spans="1:13">
      <c r="A133" s="940" t="s">
        <v>246</v>
      </c>
      <c r="B133" s="942">
        <f t="shared" si="14"/>
        <v>3.9117217376807374</v>
      </c>
      <c r="C133" s="942">
        <f t="shared" si="15"/>
        <v>19.086504340752562</v>
      </c>
      <c r="D133" s="942">
        <f t="shared" si="16"/>
        <v>6.5588782584388214</v>
      </c>
      <c r="E133" s="942">
        <f t="shared" si="17"/>
        <v>8.3798521708074407</v>
      </c>
      <c r="F133" s="942">
        <f t="shared" si="18"/>
        <v>0.15174782603071826</v>
      </c>
      <c r="G133" s="942">
        <f t="shared" si="19"/>
        <v>1.5511999994251198</v>
      </c>
      <c r="H133" s="942">
        <f t="shared" si="20"/>
        <v>4.400686954890829</v>
      </c>
      <c r="I133" s="942">
        <f t="shared" si="21"/>
        <v>4.9739565198957649</v>
      </c>
      <c r="J133" s="942">
        <f t="shared" si="22"/>
        <v>2.7145999989939598</v>
      </c>
      <c r="K133" s="942">
        <f t="shared" si="23"/>
        <v>71.10228693017099</v>
      </c>
      <c r="L133" s="942">
        <f t="shared" si="24"/>
        <v>7.1490086930027266</v>
      </c>
      <c r="M133" s="944">
        <f t="shared" si="25"/>
        <v>129.98044343008965</v>
      </c>
    </row>
    <row r="134" spans="1:13">
      <c r="A134" s="940" t="s">
        <v>245</v>
      </c>
      <c r="B134" s="942">
        <f t="shared" si="14"/>
        <v>0.98344376639004716</v>
      </c>
      <c r="C134" s="942">
        <f t="shared" si="15"/>
        <v>24.792149044137663</v>
      </c>
      <c r="D134" s="942">
        <f t="shared" si="16"/>
        <v>4.6736994231298432</v>
      </c>
      <c r="E134" s="942">
        <f t="shared" si="17"/>
        <v>4.926584963058712</v>
      </c>
      <c r="F134" s="942">
        <f t="shared" si="18"/>
        <v>6.5562917759336481E-2</v>
      </c>
      <c r="G134" s="942">
        <f t="shared" si="19"/>
        <v>0.48703881764078522</v>
      </c>
      <c r="H134" s="942">
        <f t="shared" si="20"/>
        <v>1.1239357330171968</v>
      </c>
      <c r="I134" s="942">
        <f t="shared" si="21"/>
        <v>2.828571594759945</v>
      </c>
      <c r="J134" s="942">
        <f t="shared" si="22"/>
        <v>2.0980133682987674</v>
      </c>
      <c r="K134" s="942">
        <f t="shared" si="23"/>
        <v>60.992245778399877</v>
      </c>
      <c r="L134" s="942">
        <f t="shared" si="24"/>
        <v>5.5447496162181702</v>
      </c>
      <c r="M134" s="944">
        <f t="shared" si="25"/>
        <v>108.51599502281034</v>
      </c>
    </row>
    <row r="135" spans="1:13">
      <c r="A135" s="940" t="s">
        <v>247</v>
      </c>
      <c r="B135" s="942">
        <f t="shared" si="14"/>
        <v>3.8655417562268273</v>
      </c>
      <c r="C135" s="942">
        <f t="shared" si="15"/>
        <v>15.235922942185001</v>
      </c>
      <c r="D135" s="942">
        <f t="shared" si="16"/>
        <v>5.3005756523511671</v>
      </c>
      <c r="E135" s="942">
        <f t="shared" si="17"/>
        <v>3.1350965748662389</v>
      </c>
      <c r="F135" s="942">
        <f t="shared" si="18"/>
        <v>4.5248816544461189E-2</v>
      </c>
      <c r="G135" s="942">
        <f t="shared" si="19"/>
        <v>0.86619163099397134</v>
      </c>
      <c r="H135" s="942">
        <f t="shared" si="20"/>
        <v>2.2947614104691025</v>
      </c>
      <c r="I135" s="942">
        <f t="shared" si="21"/>
        <v>3.5940488569600593</v>
      </c>
      <c r="J135" s="942">
        <f t="shared" si="22"/>
        <v>0.84033516439713629</v>
      </c>
      <c r="K135" s="942">
        <f t="shared" si="23"/>
        <v>29.87068303599359</v>
      </c>
      <c r="L135" s="942">
        <f t="shared" si="24"/>
        <v>4.7446616205192162</v>
      </c>
      <c r="M135" s="944">
        <f t="shared" si="25"/>
        <v>69.79306746150678</v>
      </c>
    </row>
    <row r="137" spans="1:13">
      <c r="B137" s="867"/>
      <c r="C137" s="867"/>
      <c r="D137" s="867"/>
      <c r="G137" s="867"/>
      <c r="H137" s="867"/>
      <c r="I137" s="867"/>
    </row>
    <row r="138" spans="1:13">
      <c r="A138" s="124" t="s">
        <v>1931</v>
      </c>
      <c r="B138" s="867"/>
      <c r="C138" s="867"/>
      <c r="D138" s="867"/>
      <c r="G138" s="867"/>
      <c r="H138" s="867"/>
      <c r="I138" s="867"/>
    </row>
    <row r="139" spans="1:13">
      <c r="A139" s="867" t="s">
        <v>1935</v>
      </c>
      <c r="B139" s="867" t="s">
        <v>1514</v>
      </c>
      <c r="C139" s="867" t="s">
        <v>276</v>
      </c>
      <c r="D139" s="867" t="s">
        <v>277</v>
      </c>
      <c r="E139" s="867" t="s">
        <v>1515</v>
      </c>
      <c r="F139" s="867" t="s">
        <v>1516</v>
      </c>
      <c r="G139" s="867" t="s">
        <v>1517</v>
      </c>
      <c r="H139" s="867" t="s">
        <v>281</v>
      </c>
      <c r="I139" s="867" t="s">
        <v>282</v>
      </c>
      <c r="J139" s="867" t="s">
        <v>1518</v>
      </c>
      <c r="K139" s="867" t="s">
        <v>1519</v>
      </c>
      <c r="L139" s="867" t="s">
        <v>1520</v>
      </c>
      <c r="M139" s="867" t="s">
        <v>91</v>
      </c>
    </row>
    <row r="140" spans="1:13">
      <c r="A140" s="867" t="s">
        <v>243</v>
      </c>
      <c r="B140" s="867">
        <v>596</v>
      </c>
      <c r="C140" s="867">
        <v>11806</v>
      </c>
      <c r="D140" s="867">
        <v>4814</v>
      </c>
      <c r="E140" s="867">
        <v>5421</v>
      </c>
      <c r="F140" s="867">
        <v>268</v>
      </c>
      <c r="G140" s="867">
        <v>690</v>
      </c>
      <c r="H140" s="867">
        <v>2709</v>
      </c>
      <c r="I140" s="867">
        <v>4335</v>
      </c>
      <c r="J140" s="867">
        <v>1726</v>
      </c>
      <c r="K140" s="867">
        <v>76708</v>
      </c>
      <c r="L140" s="867">
        <v>3926</v>
      </c>
      <c r="M140" s="867">
        <v>112999</v>
      </c>
    </row>
    <row r="141" spans="1:13">
      <c r="A141" s="867" t="s">
        <v>235</v>
      </c>
      <c r="B141" s="867">
        <v>517</v>
      </c>
      <c r="C141" s="867">
        <v>5026</v>
      </c>
      <c r="D141" s="867">
        <v>3014</v>
      </c>
      <c r="E141" s="867">
        <v>2650</v>
      </c>
      <c r="F141" s="867">
        <v>329</v>
      </c>
      <c r="G141" s="867">
        <v>709</v>
      </c>
      <c r="H141" s="867">
        <v>2099</v>
      </c>
      <c r="I141" s="867">
        <v>2381</v>
      </c>
      <c r="J141" s="867">
        <v>1077</v>
      </c>
      <c r="K141" s="867">
        <v>42075</v>
      </c>
      <c r="L141" s="867">
        <v>1865</v>
      </c>
      <c r="M141" s="867">
        <v>61742</v>
      </c>
    </row>
    <row r="142" spans="1:13">
      <c r="A142" s="867" t="s">
        <v>241</v>
      </c>
      <c r="B142" s="867">
        <v>870</v>
      </c>
      <c r="C142" s="867">
        <v>9412</v>
      </c>
      <c r="D142" s="867">
        <v>2482</v>
      </c>
      <c r="E142" s="867">
        <v>3047</v>
      </c>
      <c r="F142" s="867">
        <v>68</v>
      </c>
      <c r="G142" s="867">
        <v>239</v>
      </c>
      <c r="H142" s="867">
        <v>1629</v>
      </c>
      <c r="I142" s="867">
        <v>2738</v>
      </c>
      <c r="J142" s="867">
        <v>843</v>
      </c>
      <c r="K142" s="867">
        <v>38128</v>
      </c>
      <c r="L142" s="867">
        <v>2103</v>
      </c>
      <c r="M142" s="867">
        <v>61559</v>
      </c>
    </row>
    <row r="143" spans="1:13">
      <c r="A143" s="867" t="s">
        <v>236</v>
      </c>
      <c r="B143" s="867">
        <v>301</v>
      </c>
      <c r="C143" s="867">
        <v>5873</v>
      </c>
      <c r="D143" s="867">
        <v>2875</v>
      </c>
      <c r="E143" s="867">
        <v>1952</v>
      </c>
      <c r="F143" s="867">
        <v>199</v>
      </c>
      <c r="G143" s="867">
        <v>188</v>
      </c>
      <c r="H143" s="867">
        <v>1534</v>
      </c>
      <c r="I143" s="867">
        <v>2360</v>
      </c>
      <c r="J143" s="867">
        <v>896</v>
      </c>
      <c r="K143" s="867">
        <v>43568</v>
      </c>
      <c r="L143" s="867">
        <v>1732</v>
      </c>
      <c r="M143" s="867">
        <v>61478</v>
      </c>
    </row>
    <row r="144" spans="1:13">
      <c r="A144" s="867" t="s">
        <v>240</v>
      </c>
      <c r="B144" s="867">
        <v>389</v>
      </c>
      <c r="C144" s="867">
        <v>5130</v>
      </c>
      <c r="D144" s="867">
        <v>2195</v>
      </c>
      <c r="E144" s="867">
        <v>2207</v>
      </c>
      <c r="F144" s="867">
        <v>41</v>
      </c>
      <c r="G144" s="867">
        <v>317</v>
      </c>
      <c r="H144" s="867">
        <v>1088</v>
      </c>
      <c r="I144" s="867">
        <v>2350</v>
      </c>
      <c r="J144" s="867">
        <v>762</v>
      </c>
      <c r="K144" s="867">
        <v>32464</v>
      </c>
      <c r="L144" s="867">
        <v>1578</v>
      </c>
      <c r="M144" s="867">
        <v>48521</v>
      </c>
    </row>
    <row r="145" spans="1:13">
      <c r="A145" s="867" t="s">
        <v>114</v>
      </c>
      <c r="B145" s="867">
        <v>414</v>
      </c>
      <c r="C145" s="867">
        <v>4724</v>
      </c>
      <c r="D145" s="867">
        <v>2506</v>
      </c>
      <c r="E145" s="867">
        <v>1839</v>
      </c>
      <c r="F145" s="867">
        <v>105</v>
      </c>
      <c r="G145" s="867">
        <v>223</v>
      </c>
      <c r="H145" s="867">
        <v>949</v>
      </c>
      <c r="I145" s="867">
        <v>1571</v>
      </c>
      <c r="J145" s="867">
        <v>994</v>
      </c>
      <c r="K145" s="867">
        <v>24100</v>
      </c>
      <c r="L145" s="867">
        <v>1677</v>
      </c>
      <c r="M145" s="867">
        <v>39102</v>
      </c>
    </row>
    <row r="146" spans="1:13">
      <c r="A146" s="867" t="s">
        <v>239</v>
      </c>
      <c r="B146" s="867">
        <v>181</v>
      </c>
      <c r="C146" s="867">
        <v>6040</v>
      </c>
      <c r="D146" s="867">
        <v>1276</v>
      </c>
      <c r="E146" s="867">
        <v>1207</v>
      </c>
      <c r="F146" s="867">
        <v>73</v>
      </c>
      <c r="G146" s="867">
        <v>52</v>
      </c>
      <c r="H146" s="867">
        <v>685</v>
      </c>
      <c r="I146" s="867">
        <v>809</v>
      </c>
      <c r="J146" s="867">
        <v>301</v>
      </c>
      <c r="K146" s="867">
        <v>20031</v>
      </c>
      <c r="L146" s="867">
        <v>1371</v>
      </c>
      <c r="M146" s="867">
        <v>32026</v>
      </c>
    </row>
    <row r="147" spans="1:13">
      <c r="A147" s="867" t="s">
        <v>238</v>
      </c>
      <c r="B147" s="867">
        <v>708</v>
      </c>
      <c r="C147" s="867">
        <v>3220</v>
      </c>
      <c r="D147" s="867">
        <v>1282</v>
      </c>
      <c r="E147" s="867">
        <v>1442</v>
      </c>
      <c r="F147" s="867">
        <v>160</v>
      </c>
      <c r="G147" s="867">
        <v>202</v>
      </c>
      <c r="H147" s="867">
        <v>752</v>
      </c>
      <c r="I147" s="867">
        <v>1541</v>
      </c>
      <c r="J147" s="867">
        <v>588</v>
      </c>
      <c r="K147" s="867">
        <v>17055</v>
      </c>
      <c r="L147" s="867">
        <v>1368</v>
      </c>
      <c r="M147" s="867">
        <v>28318</v>
      </c>
    </row>
    <row r="148" spans="1:13">
      <c r="A148" s="867" t="s">
        <v>242</v>
      </c>
      <c r="B148" s="867">
        <v>508</v>
      </c>
      <c r="C148" s="867">
        <v>4945</v>
      </c>
      <c r="D148" s="867">
        <v>1562</v>
      </c>
      <c r="E148" s="867">
        <v>1607</v>
      </c>
      <c r="F148" s="867">
        <v>60</v>
      </c>
      <c r="G148" s="867">
        <v>76</v>
      </c>
      <c r="H148" s="867">
        <v>622</v>
      </c>
      <c r="I148" s="867">
        <v>1191</v>
      </c>
      <c r="J148" s="867">
        <v>438</v>
      </c>
      <c r="K148" s="867">
        <v>15748</v>
      </c>
      <c r="L148" s="867">
        <v>1098</v>
      </c>
      <c r="M148" s="867">
        <v>27855</v>
      </c>
    </row>
    <row r="149" spans="1:13">
      <c r="A149" s="867" t="s">
        <v>234</v>
      </c>
      <c r="B149" s="867">
        <v>187</v>
      </c>
      <c r="C149" s="867">
        <v>1996</v>
      </c>
      <c r="D149" s="867">
        <v>865</v>
      </c>
      <c r="E149" s="867">
        <v>1028</v>
      </c>
      <c r="F149" s="867">
        <v>67</v>
      </c>
      <c r="G149" s="867">
        <v>296</v>
      </c>
      <c r="H149" s="867">
        <v>697</v>
      </c>
      <c r="I149" s="867">
        <v>686</v>
      </c>
      <c r="J149" s="867">
        <v>470</v>
      </c>
      <c r="K149" s="867">
        <v>17604</v>
      </c>
      <c r="L149" s="867">
        <v>1025</v>
      </c>
      <c r="M149" s="867">
        <v>24921</v>
      </c>
    </row>
    <row r="150" spans="1:13">
      <c r="A150" s="867" t="s">
        <v>244</v>
      </c>
      <c r="B150" s="867">
        <v>399</v>
      </c>
      <c r="C150" s="867">
        <v>3567</v>
      </c>
      <c r="D150" s="867">
        <v>1522</v>
      </c>
      <c r="E150" s="867">
        <v>1128</v>
      </c>
      <c r="F150" s="867">
        <v>78</v>
      </c>
      <c r="G150" s="867">
        <v>60</v>
      </c>
      <c r="H150" s="867">
        <v>840</v>
      </c>
      <c r="I150" s="867">
        <v>917</v>
      </c>
      <c r="J150" s="867">
        <v>350</v>
      </c>
      <c r="K150" s="867">
        <v>12820</v>
      </c>
      <c r="L150" s="867">
        <v>1052</v>
      </c>
      <c r="M150" s="867">
        <v>22733</v>
      </c>
    </row>
    <row r="151" spans="1:13">
      <c r="A151" s="867" t="s">
        <v>237</v>
      </c>
      <c r="B151" s="867">
        <v>210</v>
      </c>
      <c r="C151" s="867">
        <v>2088</v>
      </c>
      <c r="D151" s="867">
        <v>1575</v>
      </c>
      <c r="E151" s="867">
        <v>1161</v>
      </c>
      <c r="F151" s="867">
        <v>75</v>
      </c>
      <c r="G151" s="867">
        <v>169</v>
      </c>
      <c r="H151" s="867">
        <v>420</v>
      </c>
      <c r="I151" s="867">
        <v>676</v>
      </c>
      <c r="J151" s="867">
        <v>822</v>
      </c>
      <c r="K151" s="867">
        <v>14471</v>
      </c>
      <c r="L151" s="867">
        <v>806</v>
      </c>
      <c r="M151" s="867">
        <v>22473</v>
      </c>
    </row>
    <row r="152" spans="1:13">
      <c r="A152" s="867" t="s">
        <v>245</v>
      </c>
      <c r="B152" s="867">
        <v>105</v>
      </c>
      <c r="C152" s="867">
        <v>2647</v>
      </c>
      <c r="D152" s="867">
        <v>499</v>
      </c>
      <c r="E152" s="867">
        <v>526</v>
      </c>
      <c r="F152" s="867">
        <v>7</v>
      </c>
      <c r="G152" s="867">
        <v>52</v>
      </c>
      <c r="H152" s="867">
        <v>120</v>
      </c>
      <c r="I152" s="867">
        <v>302</v>
      </c>
      <c r="J152" s="867">
        <v>224</v>
      </c>
      <c r="K152" s="867">
        <v>6512</v>
      </c>
      <c r="L152" s="867">
        <v>592</v>
      </c>
      <c r="M152" s="867">
        <v>11586</v>
      </c>
    </row>
    <row r="153" spans="1:13">
      <c r="A153" s="867" t="s">
        <v>247</v>
      </c>
      <c r="B153" s="867">
        <v>598</v>
      </c>
      <c r="C153" s="867">
        <v>2357</v>
      </c>
      <c r="D153" s="867">
        <v>820</v>
      </c>
      <c r="E153" s="867">
        <v>485</v>
      </c>
      <c r="F153" s="867">
        <v>7</v>
      </c>
      <c r="G153" s="867">
        <v>134</v>
      </c>
      <c r="H153" s="867">
        <v>355</v>
      </c>
      <c r="I153" s="867">
        <v>556</v>
      </c>
      <c r="J153" s="867">
        <v>130</v>
      </c>
      <c r="K153" s="867">
        <v>4621</v>
      </c>
      <c r="L153" s="867">
        <v>734</v>
      </c>
      <c r="M153" s="867">
        <v>10797</v>
      </c>
    </row>
    <row r="154" spans="1:13">
      <c r="A154" s="867" t="s">
        <v>246</v>
      </c>
      <c r="B154" s="867">
        <v>232</v>
      </c>
      <c r="C154" s="867">
        <v>1132</v>
      </c>
      <c r="D154" s="867">
        <v>389</v>
      </c>
      <c r="E154" s="867">
        <v>497</v>
      </c>
      <c r="F154" s="867">
        <v>9</v>
      </c>
      <c r="G154" s="867">
        <v>92</v>
      </c>
      <c r="H154" s="867">
        <v>261</v>
      </c>
      <c r="I154" s="867">
        <v>295</v>
      </c>
      <c r="J154" s="867">
        <v>161</v>
      </c>
      <c r="K154" s="867">
        <v>4217</v>
      </c>
      <c r="L154" s="867">
        <v>424</v>
      </c>
      <c r="M154" s="867">
        <v>7709</v>
      </c>
    </row>
    <row r="155" spans="1:13">
      <c r="A155" s="241" t="s">
        <v>1462</v>
      </c>
      <c r="B155" s="867">
        <v>20836</v>
      </c>
      <c r="C155" s="867">
        <v>215589</v>
      </c>
      <c r="D155" s="867">
        <v>72698</v>
      </c>
      <c r="E155" s="867">
        <v>75792</v>
      </c>
      <c r="F155" s="867">
        <v>5923</v>
      </c>
      <c r="G155" s="867">
        <v>12872</v>
      </c>
      <c r="H155" s="867">
        <v>48402</v>
      </c>
      <c r="I155" s="867">
        <v>80734</v>
      </c>
      <c r="J155" s="867">
        <v>24618</v>
      </c>
      <c r="K155" s="867">
        <v>937410</v>
      </c>
      <c r="L155" s="867">
        <v>75624</v>
      </c>
      <c r="M155" s="867">
        <f>SUM(B155:L155)</f>
        <v>1570498</v>
      </c>
    </row>
  </sheetData>
  <autoFilter ref="A60:J75" xr:uid="{00000000-0009-0000-0000-000004000000}"/>
  <sortState ref="G119:S134">
    <sortCondition descending="1" ref="S119:S134"/>
  </sortState>
  <mergeCells count="2">
    <mergeCell ref="A40:E40"/>
    <mergeCell ref="A1:L2"/>
  </mergeCells>
  <hyperlinks>
    <hyperlink ref="K58" r:id="rId1" xr:uid="{00000000-0004-0000-04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J21"/>
  <sheetViews>
    <sheetView topLeftCell="L1" workbookViewId="0">
      <selection activeCell="B16" sqref="B16"/>
    </sheetView>
  </sheetViews>
  <sheetFormatPr baseColWidth="10" defaultRowHeight="15"/>
  <cols>
    <col min="1" max="1" width="18" style="224" customWidth="1"/>
    <col min="2" max="31" width="8.28515625" style="224" customWidth="1"/>
    <col min="32" max="16384" width="11.42578125" style="224"/>
  </cols>
  <sheetData>
    <row r="2" spans="1:36">
      <c r="R2" s="224" t="s">
        <v>1522</v>
      </c>
      <c r="S2" s="224">
        <f>MAX(B9:AZ13)</f>
        <v>12.9</v>
      </c>
    </row>
    <row r="4" spans="1:36">
      <c r="R4" s="224" t="s">
        <v>1521</v>
      </c>
      <c r="S4" s="224">
        <f>MIN(B9:AZ13)</f>
        <v>6.8</v>
      </c>
    </row>
    <row r="5" spans="1:36" ht="15.75" thickBot="1"/>
    <row r="6" spans="1:36" s="579" customFormat="1" ht="16.5" thickTop="1" thickBot="1">
      <c r="A6"/>
      <c r="B6"/>
      <c r="C6"/>
      <c r="D6"/>
      <c r="E6"/>
      <c r="F6" s="576"/>
      <c r="G6" s="1089" t="str">
        <f>'Marché du travail'!L177</f>
        <v>ZE Lille</v>
      </c>
      <c r="H6" s="1090"/>
      <c r="I6" s="577"/>
      <c r="J6" s="1089" t="str">
        <f>'Marché du travail'!N176</f>
        <v>ZE Nantes</v>
      </c>
      <c r="K6" s="1090"/>
      <c r="L6" s="577"/>
      <c r="M6" s="1089" t="str">
        <f>'Marché du travail'!J176</f>
        <v>France métro.</v>
      </c>
      <c r="N6" s="1090"/>
      <c r="O6" s="577"/>
      <c r="P6" s="1089" t="str">
        <f>'Marché du travail'!Q177</f>
        <v>ZE Bordeaux</v>
      </c>
      <c r="Q6" s="1090"/>
      <c r="R6" s="577"/>
      <c r="S6" s="1089" t="str">
        <f>'Marché du travail'!R176</f>
        <v>ZE Marseille</v>
      </c>
      <c r="T6" s="1090"/>
      <c r="U6" s="578" t="s">
        <v>1092</v>
      </c>
      <c r="V6" s="578"/>
      <c r="W6" s="578"/>
    </row>
    <row r="7" spans="1:36" ht="15.75" thickTop="1"/>
    <row r="8" spans="1:36" s="579" customFormat="1" ht="12.75">
      <c r="A8" s="406"/>
      <c r="B8" s="580" t="s">
        <v>647</v>
      </c>
      <c r="C8" s="580" t="s">
        <v>648</v>
      </c>
      <c r="D8" s="580" t="s">
        <v>649</v>
      </c>
      <c r="E8" s="580" t="s">
        <v>650</v>
      </c>
      <c r="F8" s="580" t="s">
        <v>651</v>
      </c>
      <c r="G8" s="580" t="s">
        <v>652</v>
      </c>
      <c r="H8" s="580" t="s">
        <v>653</v>
      </c>
      <c r="I8" s="580" t="s">
        <v>654</v>
      </c>
      <c r="J8" s="580" t="s">
        <v>655</v>
      </c>
      <c r="K8" s="580" t="s">
        <v>656</v>
      </c>
      <c r="L8" s="580" t="s">
        <v>657</v>
      </c>
      <c r="M8" s="580" t="s">
        <v>658</v>
      </c>
      <c r="N8" s="580" t="s">
        <v>659</v>
      </c>
      <c r="O8" s="580" t="s">
        <v>660</v>
      </c>
      <c r="P8" s="581" t="s">
        <v>661</v>
      </c>
      <c r="Q8" s="581" t="s">
        <v>662</v>
      </c>
      <c r="R8" s="581" t="s">
        <v>663</v>
      </c>
      <c r="S8" s="581" t="s">
        <v>665</v>
      </c>
      <c r="T8" s="581" t="s">
        <v>664</v>
      </c>
      <c r="U8" s="581" t="s">
        <v>666</v>
      </c>
      <c r="V8" s="581" t="s">
        <v>667</v>
      </c>
      <c r="W8" s="581" t="s">
        <v>668</v>
      </c>
      <c r="X8" s="581" t="s">
        <v>669</v>
      </c>
      <c r="Y8" s="581" t="s">
        <v>670</v>
      </c>
      <c r="Z8" s="581" t="s">
        <v>671</v>
      </c>
      <c r="AA8" s="17" t="s">
        <v>1300</v>
      </c>
      <c r="AB8" s="17" t="s">
        <v>1301</v>
      </c>
      <c r="AC8" s="17" t="s">
        <v>1303</v>
      </c>
      <c r="AD8" s="17" t="s">
        <v>1392</v>
      </c>
      <c r="AE8" s="17" t="s">
        <v>1398</v>
      </c>
      <c r="AF8" s="812" t="s">
        <v>1653</v>
      </c>
      <c r="AG8" s="579" t="s">
        <v>1725</v>
      </c>
      <c r="AH8" s="579" t="s">
        <v>1791</v>
      </c>
      <c r="AI8" s="579" t="s">
        <v>1792</v>
      </c>
      <c r="AJ8" s="579" t="s">
        <v>2055</v>
      </c>
    </row>
    <row r="9" spans="1:36" s="579" customFormat="1" ht="12.75">
      <c r="A9" s="406" t="str">
        <f>G6</f>
        <v>ZE Lille</v>
      </c>
      <c r="B9" s="406">
        <f>VLOOKUP($G6,'D_Ch2-2'!$B$6:$AH$22,MATCH("09-T2",'D_Ch2-2'!$6:$6,0)-1,FALSE)</f>
        <v>10.1</v>
      </c>
      <c r="C9" s="406">
        <f>VLOOKUP($G6,'D_Ch2-2'!$B$6:$AH$22,MATCH("09-T3",'D_Ch2-2'!$6:$6,0)-1,FALSE)</f>
        <v>10.1</v>
      </c>
      <c r="D9" s="406">
        <f>VLOOKUP($G6,'D_Ch2-2'!$B$6:$AH$22,MATCH("09-T4",'D_Ch2-2'!$6:$6,0)-1,FALSE)</f>
        <v>10.6</v>
      </c>
      <c r="E9" s="406">
        <f>VLOOKUP($G6,'D_Ch2-2'!$B$6:$AH$22,MATCH("10-T1",'D_Ch2-2'!$6:$6,0)-1,FALSE)</f>
        <v>10.4</v>
      </c>
      <c r="F9" s="406">
        <f>VLOOKUP($G6,'D_Ch2-2'!$B$6:$AH$22,MATCH("10-T2",'D_Ch2-2'!$6:$6,0)-1,FALSE)</f>
        <v>10.5</v>
      </c>
      <c r="G9" s="406">
        <f>VLOOKUP($G6,'D_Ch2-2'!$B$6:$AH$22,MATCH("10-T3",'D_Ch2-2'!$6:$6,0)-1,FALSE)</f>
        <v>10.4</v>
      </c>
      <c r="H9" s="406">
        <f>VLOOKUP($G6,'D_Ch2-2'!$B$6:$AH$22,MATCH("10-T4",'D_Ch2-2'!$6:$6,0)-1,FALSE)</f>
        <v>10.4</v>
      </c>
      <c r="I9" s="406">
        <f>VLOOKUP($G6,'D_Ch2-2'!$B$6:$AH$22,MATCH("11-T1",'D_Ch2-2'!$6:$6,0)-1,FALSE)</f>
        <v>10.3</v>
      </c>
      <c r="J9" s="406">
        <f>VLOOKUP($G6,'D_Ch2-2'!$B$6:$AH$22,MATCH("11-T2",'D_Ch2-2'!$6:$6,0)-1,FALSE)</f>
        <v>10.199999999999999</v>
      </c>
      <c r="K9" s="406">
        <f>VLOOKUP($G6,'D_Ch2-2'!$B$6:$AH$22,MATCH("11-T3",'D_Ch2-2'!$6:$6,0)-1,FALSE)</f>
        <v>10.3</v>
      </c>
      <c r="L9" s="406">
        <f>VLOOKUP($G6,'D_Ch2-2'!$B$6:$AH$22,MATCH("11-T4",'D_Ch2-2'!$6:$6,0)-1,FALSE)</f>
        <v>10.4</v>
      </c>
      <c r="M9" s="406">
        <f>VLOOKUP($G6,'D_Ch2-2'!$B$6:$AH$22,MATCH("12-T1",'D_Ch2-2'!$6:$6,0)-1,FALSE)</f>
        <v>10.6</v>
      </c>
      <c r="N9" s="406">
        <f>VLOOKUP($G6,'D_Ch2-2'!$B$6:$AH$22,MATCH("12-T2",'D_Ch2-2'!$6:$6,0)-1,FALSE)</f>
        <v>10.8</v>
      </c>
      <c r="O9" s="406">
        <f>VLOOKUP($G6,'D_Ch2-2'!$B$6:$AH$22,MATCH("12-T3",'D_Ch2-2'!$6:$6,0)-1,FALSE)</f>
        <v>10.7</v>
      </c>
      <c r="P9" s="406">
        <f>VLOOKUP($G6,'D_Ch2-2'!$B$6:$AH$22,MATCH("12-T4",'D_Ch2-2'!$6:$6,0)-1,FALSE)</f>
        <v>11</v>
      </c>
      <c r="Q9" s="579">
        <f>VLOOKUP($G6,'D_Ch2-2'!$B$6:$AH$22,MATCH("13-T1",'D_Ch2-2'!$6:$6,0)-1,FALSE)</f>
        <v>11.2</v>
      </c>
      <c r="R9" s="579">
        <f>VLOOKUP($G6,'D_Ch2-2'!$B$6:$AH$22,MATCH("13-T2",'D_Ch2-2'!$6:$6,0)-1,FALSE)</f>
        <v>11.3</v>
      </c>
      <c r="S9" s="579">
        <f>VLOOKUP($G6,'D_Ch2-2'!$B$6:$AH$22,MATCH("13-T3",'D_Ch2-2'!$6:$6,0)-1,FALSE)</f>
        <v>11.1</v>
      </c>
      <c r="T9" s="579">
        <f>VLOOKUP($G6,'D_Ch2-2'!$B$6:$AH$22,MATCH("13-T4",'D_Ch2-2'!$6:$6,0)-1,FALSE)</f>
        <v>10.9</v>
      </c>
      <c r="U9" s="579">
        <f>VLOOKUP($G6,'D_Ch2-2'!$B$6:$AH$22,MATCH("14-T1",'D_Ch2-2'!$6:$6,0)-1,FALSE)</f>
        <v>10.9</v>
      </c>
      <c r="V9" s="579">
        <f>VLOOKUP($G6,'D_Ch2-2'!$B$6:$AH$22,MATCH("14-T2",'D_Ch2-2'!$6:$6,0)-1,FALSE)</f>
        <v>11</v>
      </c>
      <c r="W9" s="579">
        <f>VLOOKUP($G6,'D_Ch2-2'!$B$6:$AH$22,MATCH("14-T3",'D_Ch2-2'!$6:$6,0)-1,FALSE)</f>
        <v>11.1</v>
      </c>
      <c r="X9" s="579">
        <f>VLOOKUP($G6,'D_Ch2-2'!$B$6:$AH$22,MATCH("14-T4",'D_Ch2-2'!$6:$6,0)-1,FALSE)</f>
        <v>11.2</v>
      </c>
      <c r="Y9" s="579">
        <f>VLOOKUP($G6,'D_Ch2-2'!$B$6:$AH$22,MATCH("15-T1",'D_Ch2-2'!$6:$6,0)-1,FALSE)</f>
        <v>11.1</v>
      </c>
      <c r="Z9" s="579">
        <f>VLOOKUP($G6,'D_Ch2-2'!$B$6:$AH$22,MATCH("15-T2",'D_Ch2-2'!$6:$6,0)-1,FALSE)</f>
        <v>11.2</v>
      </c>
      <c r="AA9" s="579">
        <f>VLOOKUP($G6,'D_Ch2-2'!$B$6:$AH$22,MATCH("15-T3",'D_Ch2-2'!$6:$6,0)-1,FALSE)</f>
        <v>11.1</v>
      </c>
      <c r="AB9" s="579">
        <f>VLOOKUP($G6,'D_Ch2-2'!$B$6:$AH$22,MATCH("15-T4",'D_Ch2-2'!$6:$6,0)-1,FALSE)</f>
        <v>10.8</v>
      </c>
      <c r="AC9" s="579">
        <f>VLOOKUP($G6,'D_Ch2-2'!$B$6:$AH$22,MATCH("16-T1",'D_Ch2-2'!$6:$6,0)-1,FALSE)</f>
        <v>10.7</v>
      </c>
      <c r="AD9" s="579">
        <f>VLOOKUP($G6,'D_Ch2-2'!$B$6:$AH$22,MATCH("16-T2",'D_Ch2-2'!$6:$6,0)-1,FALSE)</f>
        <v>10.5</v>
      </c>
      <c r="AE9" s="579">
        <f>VLOOKUP($G6,'D_Ch2-2'!$B$6:$AH$22,MATCH("16-T3",'D_Ch2-2'!$6:$6,0)-1,FALSE)</f>
        <v>10.5</v>
      </c>
      <c r="AF9" s="579">
        <f>VLOOKUP($G6,'D_Ch2-2'!$B$6:$AH$22,MATCH("16-T4",'D_Ch2-2'!$6:$6,0)-1,FALSE)</f>
        <v>10.5</v>
      </c>
      <c r="AG9" s="579">
        <f>VLOOKUP($G6,'D_Ch2-2'!$B$6:$AH$22,MATCH("17-T1",'D_Ch2-2'!$6:$6,0)-1,FALSE)</f>
        <v>10.199999999999999</v>
      </c>
      <c r="AH9" s="579">
        <f>VLOOKUP($G6,'D_Ch2-2'!$B$6:$ZH$22,MATCH("17-T2",'D_Ch2-2'!$6:$6,0)-1,FALSE)</f>
        <v>10.1</v>
      </c>
      <c r="AI9" s="579">
        <f>VLOOKUP($G6,'D_Ch2-2'!$B$6:$ZH$22,MATCH("17-T3",'D_Ch2-2'!$6:$6,0)-1,FALSE)</f>
        <v>10.4</v>
      </c>
      <c r="AJ9" s="579">
        <f>VLOOKUP($G6,'D_Ch2-2'!$B$6:$ZH$22,MATCH("17-T4",'D_Ch2-2'!$6:$6,0)-1,FALSE)</f>
        <v>9.5</v>
      </c>
    </row>
    <row r="10" spans="1:36" s="579" customFormat="1" ht="12.75">
      <c r="A10" s="406" t="str">
        <f>J6</f>
        <v>ZE Nantes</v>
      </c>
      <c r="B10" s="406">
        <f>VLOOKUP($J6,'D_Ch2-2'!$B$6:$AH$22,MATCH("09-T2",'D_Ch2-2'!$6:$6,0)-1,FALSE)</f>
        <v>7.5</v>
      </c>
      <c r="C10" s="406">
        <f>VLOOKUP($J6,'D_Ch2-2'!$B$6:$AH$22,MATCH("09-T3",'D_Ch2-2'!$6:$6,0)-1,FALSE)</f>
        <v>7.6</v>
      </c>
      <c r="D10" s="406">
        <f>VLOOKUP($J6,'D_Ch2-2'!$B$6:$AH$22,MATCH("09-T4",'D_Ch2-2'!$6:$6,0)-1,FALSE)</f>
        <v>7.9</v>
      </c>
      <c r="E10" s="406">
        <f>VLOOKUP($J6,'D_Ch2-2'!$B$6:$AH$22,MATCH("10-T1",'D_Ch2-2'!$6:$6,0)-1,FALSE)</f>
        <v>7.8</v>
      </c>
      <c r="F10" s="406">
        <f>VLOOKUP($J6,'D_Ch2-2'!$B$6:$AH$22,MATCH("10-T2",'D_Ch2-2'!$6:$6,0)-1,FALSE)</f>
        <v>7.6</v>
      </c>
      <c r="G10" s="406">
        <f>VLOOKUP($J6,'D_Ch2-2'!$B$6:$AH$22,MATCH("10-T3",'D_Ch2-2'!$6:$6,0)-1,FALSE)</f>
        <v>7.4</v>
      </c>
      <c r="H10" s="406">
        <f>VLOOKUP($J6,'D_Ch2-2'!$B$6:$AH$22,MATCH("10-T4",'D_Ch2-2'!$6:$6,0)-1,FALSE)</f>
        <v>7.3</v>
      </c>
      <c r="I10" s="406">
        <f>VLOOKUP($J6,'D_Ch2-2'!$B$6:$AH$22,MATCH("11-T1",'D_Ch2-2'!$6:$6,0)-1,FALSE)</f>
        <v>7.2</v>
      </c>
      <c r="J10" s="406">
        <f>VLOOKUP($J6,'D_Ch2-2'!$B$6:$AH$22,MATCH("11-T2",'D_Ch2-2'!$6:$6,0)-1,FALSE)</f>
        <v>7.1</v>
      </c>
      <c r="K10" s="406">
        <f>VLOOKUP($J6,'D_Ch2-2'!$B$6:$AH$22,MATCH("11-T3",'D_Ch2-2'!$6:$6,0)-1,FALSE)</f>
        <v>7.2</v>
      </c>
      <c r="L10" s="406">
        <f>VLOOKUP($J6,'D_Ch2-2'!$B$6:$AH$22,MATCH("11-T4",'D_Ch2-2'!$6:$6,0)-1,FALSE)</f>
        <v>7.2</v>
      </c>
      <c r="M10" s="406">
        <f>VLOOKUP($J6,'D_Ch2-2'!$B$6:$AH$22,MATCH("12-T1",'D_Ch2-2'!$6:$6,0)-1,FALSE)</f>
        <v>7.4</v>
      </c>
      <c r="N10" s="406">
        <f>VLOOKUP($J6,'D_Ch2-2'!$B$6:$AH$22,MATCH("12-T2",'D_Ch2-2'!$6:$6,0)-1,FALSE)</f>
        <v>7.5</v>
      </c>
      <c r="O10" s="406">
        <f>VLOOKUP($J6,'D_Ch2-2'!$B$6:$AH$22,MATCH("12-T3",'D_Ch2-2'!$6:$6,0)-1,FALSE)</f>
        <v>7.5</v>
      </c>
      <c r="P10" s="406">
        <f>VLOOKUP($J6,'D_Ch2-2'!$B$6:$AH$22,MATCH("12-T4",'D_Ch2-2'!$6:$6,0)-1,FALSE)</f>
        <v>7.7</v>
      </c>
      <c r="Q10" s="579">
        <f>VLOOKUP($J6,'D_Ch2-2'!$B$6:$AH$22,MATCH("13-T1",'D_Ch2-2'!$6:$6,0)-1,FALSE)</f>
        <v>8</v>
      </c>
      <c r="R10" s="579">
        <f>VLOOKUP($J6,'D_Ch2-2'!$B$6:$AH$22,MATCH("13-T2",'D_Ch2-2'!$6:$6,0)-1,FALSE)</f>
        <v>8.1999999999999993</v>
      </c>
      <c r="S10" s="579">
        <f>VLOOKUP($J6,'D_Ch2-2'!$B$6:$AH$22,MATCH("13-T3",'D_Ch2-2'!$6:$6,0)-1,FALSE)</f>
        <v>8.1</v>
      </c>
      <c r="T10" s="579">
        <f>VLOOKUP($J6,'D_Ch2-2'!$B$6:$AH$22,MATCH("13-T4",'D_Ch2-2'!$6:$6,0)-1,FALSE)</f>
        <v>8</v>
      </c>
      <c r="U10" s="579">
        <f>VLOOKUP($J6,'D_Ch2-2'!$B$6:$AH$22,MATCH("14-T1",'D_Ch2-2'!$6:$6,0)-1,FALSE)</f>
        <v>8.1</v>
      </c>
      <c r="V10" s="579">
        <f>VLOOKUP($J6,'D_Ch2-2'!$B$6:$AH$22,MATCH("14-T2",'D_Ch2-2'!$6:$6,0)-1,FALSE)</f>
        <v>8.1999999999999993</v>
      </c>
      <c r="W10" s="579">
        <f>VLOOKUP($J6,'D_Ch2-2'!$B$6:$AH$22,MATCH("14-T3",'D_Ch2-2'!$6:$6,0)-1,FALSE)</f>
        <v>8.3000000000000007</v>
      </c>
      <c r="X10" s="579">
        <f>VLOOKUP($J6,'D_Ch2-2'!$B$6:$AH$22,MATCH("14-T4",'D_Ch2-2'!$6:$6,0)-1,FALSE)</f>
        <v>8.5</v>
      </c>
      <c r="Y10" s="579">
        <f>VLOOKUP($J6,'D_Ch2-2'!$B$6:$AH$22,MATCH("15-T1",'D_Ch2-2'!$6:$6,0)-1,FALSE)</f>
        <v>8.5</v>
      </c>
      <c r="Z10" s="579">
        <f>VLOOKUP($J6,'D_Ch2-2'!$B$6:$AH$22,MATCH("15-T2",'D_Ch2-2'!$6:$6,0)-1,FALSE)</f>
        <v>8.6</v>
      </c>
      <c r="AA10" s="579">
        <f>VLOOKUP($J6,'D_Ch2-2'!$B$6:$AH$22,MATCH("15-T3",'D_Ch2-2'!$6:$6,0)-1,FALSE)</f>
        <v>8.5</v>
      </c>
      <c r="AB10" s="579">
        <f>VLOOKUP($J6,'D_Ch2-2'!$B$6:$AH$22,MATCH("15-T4",'D_Ch2-2'!$6:$6,0)-1,FALSE)</f>
        <v>8.3000000000000007</v>
      </c>
      <c r="AC10" s="579">
        <f>VLOOKUP($J6,'D_Ch2-2'!$B$6:$AH$22,MATCH("16-T1",'D_Ch2-2'!$6:$6,0)-1,FALSE)</f>
        <v>8.3000000000000007</v>
      </c>
      <c r="AD10" s="579">
        <f>VLOOKUP($J6,'D_Ch2-2'!$B$6:$AH$22,MATCH("16-T2",'D_Ch2-2'!$6:$6,0)-1,FALSE)</f>
        <v>7.9</v>
      </c>
      <c r="AE10" s="579">
        <f>VLOOKUP($J6,'D_Ch2-2'!$B$6:$AH$22,MATCH("16-T3",'D_Ch2-2'!$6:$6,0)-1,FALSE)</f>
        <v>7.9</v>
      </c>
      <c r="AF10" s="579">
        <f>VLOOKUP($J6,'D_Ch2-2'!$B$6:$AH$22,MATCH("16-T4",'D_Ch2-2'!$6:$6,0)-1,FALSE)</f>
        <v>7.8</v>
      </c>
      <c r="AG10" s="579">
        <f>VLOOKUP($J6,'D_Ch2-2'!$B$6:$AH$22,MATCH("17-T1",'D_Ch2-2'!$6:$6,0)-1,FALSE)</f>
        <v>7.5</v>
      </c>
      <c r="AH10" s="579">
        <f>VLOOKUP($J6,'D_Ch2-2'!$B$6:$AZ$22,MATCH("17-T2",'D_Ch2-2'!$6:$6,0)-1,FALSE)</f>
        <v>7.3</v>
      </c>
      <c r="AI10" s="579">
        <f>VLOOKUP($J6,'D_Ch2-2'!$B$6:$AZ$22,MATCH("17-T3",'D_Ch2-2'!$6:$6,0)-1,FALSE)</f>
        <v>7.5</v>
      </c>
      <c r="AJ10" s="579">
        <f>VLOOKUP($J6,'D_Ch2-2'!$B$6:$AZ$22,MATCH("17-T4",'D_Ch2-2'!$6:$6,0)-1,FALSE)</f>
        <v>6.8</v>
      </c>
    </row>
    <row r="11" spans="1:36" s="579" customFormat="1" ht="12.75">
      <c r="A11" s="406" t="str">
        <f>M6</f>
        <v>France métro.</v>
      </c>
      <c r="B11" s="406">
        <f>VLOOKUP($M6,'D_Ch2-2'!$B$6:$AH$22,MATCH("09-T2",'D_Ch2-2'!$6:$6,0)-1,FALSE)</f>
        <v>8.8000000000000007</v>
      </c>
      <c r="C11" s="406">
        <f>VLOOKUP($M6,'D_Ch2-2'!$B$6:$AH$22,MATCH("09-T3",'D_Ch2-2'!$6:$6,0)-1,FALSE)</f>
        <v>8.8000000000000007</v>
      </c>
      <c r="D11" s="406">
        <f>VLOOKUP($M6,'D_Ch2-2'!$B$6:$AH$22,MATCH("09-T4",'D_Ch2-2'!$6:$6,0)-1,FALSE)</f>
        <v>9.1</v>
      </c>
      <c r="E11" s="406">
        <f>VLOOKUP($M6,'D_Ch2-2'!$B$6:$AH$22,MATCH("10-T1",'D_Ch2-2'!$6:$6,0)-1,FALSE)</f>
        <v>9</v>
      </c>
      <c r="F11" s="406">
        <f>VLOOKUP($M6,'D_Ch2-2'!$B$6:$AH$22,MATCH("10-T2",'D_Ch2-2'!$6:$6,0)-1,FALSE)</f>
        <v>8.9</v>
      </c>
      <c r="G11" s="406">
        <f>VLOOKUP($M6,'D_Ch2-2'!$B$6:$AH$22,MATCH("10-T3",'D_Ch2-2'!$6:$6,0)-1,FALSE)</f>
        <v>8.8000000000000007</v>
      </c>
      <c r="H11" s="406">
        <f>VLOOKUP($M6,'D_Ch2-2'!$B$6:$AH$22,MATCH("10-T4",'D_Ch2-2'!$6:$6,0)-1,FALSE)</f>
        <v>8.8000000000000007</v>
      </c>
      <c r="I11" s="406">
        <f>VLOOKUP($M6,'D_Ch2-2'!$B$6:$AH$22,MATCH("11-T1",'D_Ch2-2'!$6:$6,0)-1,FALSE)</f>
        <v>8.8000000000000007</v>
      </c>
      <c r="J11" s="406">
        <f>VLOOKUP($M6,'D_Ch2-2'!$B$6:$AH$22,MATCH("11-T2",'D_Ch2-2'!$6:$6,0)-1,FALSE)</f>
        <v>8.6999999999999993</v>
      </c>
      <c r="K11" s="406">
        <f>VLOOKUP($M6,'D_Ch2-2'!$B$6:$AH$22,MATCH("11-T3",'D_Ch2-2'!$6:$6,0)-1,FALSE)</f>
        <v>8.8000000000000007</v>
      </c>
      <c r="L11" s="406">
        <f>VLOOKUP($M6,'D_Ch2-2'!$B$6:$AH$22,MATCH("11-T4",'D_Ch2-2'!$6:$6,0)-1,FALSE)</f>
        <v>9</v>
      </c>
      <c r="M11" s="406">
        <f>VLOOKUP($M6,'D_Ch2-2'!$B$6:$AH$22,MATCH("12-T1",'D_Ch2-2'!$6:$6,0)-1,FALSE)</f>
        <v>9.1</v>
      </c>
      <c r="N11" s="406">
        <f>VLOOKUP($M6,'D_Ch2-2'!$B$6:$AH$22,MATCH("12-T2",'D_Ch2-2'!$6:$6,0)-1,FALSE)</f>
        <v>9.4</v>
      </c>
      <c r="O11" s="406">
        <f>VLOOKUP($M6,'D_Ch2-2'!$B$6:$AH$22,MATCH("12-T3",'D_Ch2-2'!$6:$6,0)-1,FALSE)</f>
        <v>9.4</v>
      </c>
      <c r="P11" s="406">
        <f>VLOOKUP($M6,'D_Ch2-2'!$B$6:$AH$22,MATCH("12-T4",'D_Ch2-2'!$6:$6,0)-1,FALSE)</f>
        <v>9.6999999999999993</v>
      </c>
      <c r="Q11" s="579">
        <f>VLOOKUP($M6,'D_Ch2-2'!$B$6:$AH$22,MATCH("13-T1",'D_Ch2-2'!$6:$6,0)-1,FALSE)</f>
        <v>9.9</v>
      </c>
      <c r="R11" s="579">
        <f>VLOOKUP($M6,'D_Ch2-2'!$B$6:$AH$22,MATCH("13-T2",'D_Ch2-2'!$6:$6,0)-1,FALSE)</f>
        <v>10.1</v>
      </c>
      <c r="S11" s="579">
        <f>VLOOKUP($M6,'D_Ch2-2'!$B$6:$AH$22,MATCH("13-T3",'D_Ch2-2'!$6:$6,0)-1,FALSE)</f>
        <v>9.9</v>
      </c>
      <c r="T11" s="579">
        <f>VLOOKUP($M6,'D_Ch2-2'!$B$6:$AH$22,MATCH("13-T4",'D_Ch2-2'!$6:$6,0)-1,FALSE)</f>
        <v>9.6999999999999993</v>
      </c>
      <c r="U11" s="579">
        <f>VLOOKUP($M6,'D_Ch2-2'!$B$6:$AH$22,MATCH("14-T1",'D_Ch2-2'!$6:$6,0)-1,FALSE)</f>
        <v>9.8000000000000007</v>
      </c>
      <c r="V11" s="579">
        <f>VLOOKUP($M6,'D_Ch2-2'!$B$6:$AH$22,MATCH("14-T2",'D_Ch2-2'!$6:$6,0)-1,FALSE)</f>
        <v>9.9</v>
      </c>
      <c r="W11" s="579">
        <f>VLOOKUP($M6,'D_Ch2-2'!$B$6:$AH$22,MATCH("14-T3",'D_Ch2-2'!$6:$6,0)-1,FALSE)</f>
        <v>10</v>
      </c>
      <c r="X11" s="579">
        <f>VLOOKUP($M6,'D_Ch2-2'!$B$6:$AH$22,MATCH("14-T4",'D_Ch2-2'!$6:$6,0)-1,FALSE)</f>
        <v>10.1</v>
      </c>
      <c r="Y11" s="579">
        <f>VLOOKUP($M6,'D_Ch2-2'!$B$6:$AH$22,MATCH("15-T1",'D_Ch2-2'!$6:$6,0)-1,FALSE)</f>
        <v>10</v>
      </c>
      <c r="Z11" s="579">
        <f>VLOOKUP($M6,'D_Ch2-2'!$B$6:$AH$22,MATCH("15-T2",'D_Ch2-2'!$6:$6,0)-1,FALSE)</f>
        <v>10.199999999999999</v>
      </c>
      <c r="AA11" s="579">
        <f>VLOOKUP($M6,'D_Ch2-2'!$B$6:$AH$22,MATCH("15-T3",'D_Ch2-2'!$6:$6,0)-1,FALSE)</f>
        <v>10.1</v>
      </c>
      <c r="AB11" s="579">
        <f>VLOOKUP($M6,'D_Ch2-2'!$B$6:$AH$22,MATCH("15-T4",'D_Ch2-2'!$6:$6,0)-1,FALSE)</f>
        <v>9.9</v>
      </c>
      <c r="AC11" s="579">
        <f>VLOOKUP($M6,'D_Ch2-2'!$B$6:$AH$22,MATCH("16-T1",'D_Ch2-2'!$6:$6,0)-1,FALSE)</f>
        <v>9.9</v>
      </c>
      <c r="AD11" s="579">
        <f>VLOOKUP($M6,'D_Ch2-2'!$B$6:$AH$22,MATCH("16-T2",'D_Ch2-2'!$6:$6,0)-1,FALSE)</f>
        <v>9.6999999999999993</v>
      </c>
      <c r="AE11" s="579">
        <f>VLOOKUP($M6,'D_Ch2-2'!$B$6:$AH$22,MATCH("16-T3",'D_Ch2-2'!$6:$6,0)-1,FALSE)</f>
        <v>9.6999999999999993</v>
      </c>
      <c r="AF11" s="579">
        <f>VLOOKUP($M6,'D_Ch2-2'!$B$6:$AH$22,MATCH("16-T4",'D_Ch2-2'!$6:$6,0)-1,FALSE)</f>
        <v>9.6999999999999993</v>
      </c>
      <c r="AG11" s="579">
        <f>VLOOKUP($M6,'D_Ch2-2'!$B$6:$AH$22,MATCH("17-T1",'D_Ch2-2'!$6:$6,0)-1,FALSE)</f>
        <v>9.3000000000000007</v>
      </c>
      <c r="AH11" s="579">
        <f>VLOOKUP($M6,'D_Ch2-2'!$B$6:$AZ$22,MATCH("17-T2",'D_Ch2-2'!$6:$6,0)-1,FALSE)</f>
        <v>9.1999999999999993</v>
      </c>
      <c r="AI11" s="579">
        <f>VLOOKUP($M6,'D_Ch2-2'!$B$6:$AZ$22,MATCH("17-T3",'D_Ch2-2'!$6:$6,0)-1,FALSE)*100</f>
        <v>9.3000000000000007</v>
      </c>
      <c r="AJ11" s="579">
        <f>VLOOKUP($M6,'D_Ch2-2'!$B$6:$AZ$22,MATCH("17-T4",'D_Ch2-2'!$6:$6,0)-1,FALSE)</f>
        <v>8.6</v>
      </c>
    </row>
    <row r="12" spans="1:36" s="579" customFormat="1" ht="12.75">
      <c r="A12" s="406" t="str">
        <f>P6</f>
        <v>ZE Bordeaux</v>
      </c>
      <c r="B12" s="406">
        <f>VLOOKUP($P6,'D_Ch2-2'!$B$6:$AH$22,MATCH("09-T2",'D_Ch2-2'!$6:$6,0)-1,FALSE)</f>
        <v>8.4</v>
      </c>
      <c r="C12" s="406">
        <f>VLOOKUP($P6,'D_Ch2-2'!$B$6:$AH$22,MATCH("09-T3",'D_Ch2-2'!$6:$6,0)-1,FALSE)</f>
        <v>8.5</v>
      </c>
      <c r="D12" s="406">
        <f>VLOOKUP($P6,'D_Ch2-2'!$B$6:$AH$22,MATCH("09-T4",'D_Ch2-2'!$6:$6,0)-1,FALSE)</f>
        <v>8.8000000000000007</v>
      </c>
      <c r="E12" s="406">
        <f>VLOOKUP($P6,'D_Ch2-2'!$B$6:$AH$22,MATCH("10-T1",'D_Ch2-2'!$6:$6,0)-1,FALSE)</f>
        <v>8.8000000000000007</v>
      </c>
      <c r="F12" s="406">
        <f>VLOOKUP($P6,'D_Ch2-2'!$B$6:$AH$22,MATCH("10-T2",'D_Ch2-2'!$6:$6,0)-1,FALSE)</f>
        <v>8.8000000000000007</v>
      </c>
      <c r="G12" s="406">
        <f>VLOOKUP($P6,'D_Ch2-2'!$B$6:$AH$22,MATCH("10-T3",'D_Ch2-2'!$6:$6,0)-1,FALSE)</f>
        <v>8.8000000000000007</v>
      </c>
      <c r="H12" s="406">
        <f>VLOOKUP($P6,'D_Ch2-2'!$B$6:$AH$22,MATCH("10-T4",'D_Ch2-2'!$6:$6,0)-1,FALSE)</f>
        <v>8.8000000000000007</v>
      </c>
      <c r="I12" s="406">
        <f>VLOOKUP($P6,'D_Ch2-2'!$B$6:$AH$22,MATCH("11-T1",'D_Ch2-2'!$6:$6,0)-1,FALSE)</f>
        <v>8.8000000000000007</v>
      </c>
      <c r="J12" s="406">
        <f>VLOOKUP($P6,'D_Ch2-2'!$B$6:$AH$22,MATCH("11-T2",'D_Ch2-2'!$6:$6,0)-1,FALSE)</f>
        <v>8.8000000000000007</v>
      </c>
      <c r="K12" s="406">
        <f>VLOOKUP($P6,'D_Ch2-2'!$B$6:$AH$22,MATCH("11-T3",'D_Ch2-2'!$6:$6,0)-1,FALSE)</f>
        <v>9</v>
      </c>
      <c r="L12" s="406">
        <f>VLOOKUP($P6,'D_Ch2-2'!$B$6:$AH$22,MATCH("11-T4",'D_Ch2-2'!$6:$6,0)-1,FALSE)</f>
        <v>9.1999999999999993</v>
      </c>
      <c r="M12" s="406">
        <f>VLOOKUP($P6,'D_Ch2-2'!$B$6:$AH$22,MATCH("12-T1",'D_Ch2-2'!$6:$6,0)-1,FALSE)</f>
        <v>9.3000000000000007</v>
      </c>
      <c r="N12" s="406">
        <f>VLOOKUP($P6,'D_Ch2-2'!$B$6:$AH$22,MATCH("12-T2",'D_Ch2-2'!$6:$6,0)-1,FALSE)</f>
        <v>9.5</v>
      </c>
      <c r="O12" s="406">
        <f>VLOOKUP($P6,'D_Ch2-2'!$B$6:$AH$22,MATCH("12-T3",'D_Ch2-2'!$6:$6,0)-1,FALSE)</f>
        <v>9.4</v>
      </c>
      <c r="P12" s="406">
        <f>VLOOKUP($P6,'D_Ch2-2'!$B$6:$AH$22,MATCH("12-T4",'D_Ch2-2'!$6:$6,0)-1,FALSE)</f>
        <v>9.6999999999999993</v>
      </c>
      <c r="Q12" s="579">
        <f>VLOOKUP($P6,'D_Ch2-2'!$B$6:$AH$22,MATCH("13-T1",'D_Ch2-2'!$6:$6,0)-1,FALSE)</f>
        <v>9.8000000000000007</v>
      </c>
      <c r="R12" s="579">
        <f>VLOOKUP($P6,'D_Ch2-2'!$B$6:$AH$22,MATCH("13-T2",'D_Ch2-2'!$6:$6,0)-1,FALSE)</f>
        <v>9.9</v>
      </c>
      <c r="S12" s="579">
        <f>VLOOKUP($P6,'D_Ch2-2'!$B$6:$AH$22,MATCH("13-T3",'D_Ch2-2'!$6:$6,0)-1,FALSE)</f>
        <v>9.8000000000000007</v>
      </c>
      <c r="T12" s="579">
        <f>VLOOKUP($P6,'D_Ch2-2'!$B$6:$AH$22,MATCH("13-T4",'D_Ch2-2'!$6:$6,0)-1,FALSE)</f>
        <v>9.6999999999999993</v>
      </c>
      <c r="U12" s="579">
        <f>VLOOKUP($P6,'D_Ch2-2'!$B$6:$AH$22,MATCH("14-T1",'D_Ch2-2'!$6:$6,0)-1,FALSE)</f>
        <v>9.6999999999999993</v>
      </c>
      <c r="V12" s="579">
        <f>VLOOKUP($P6,'D_Ch2-2'!$B$6:$AH$22,MATCH("14-T2",'D_Ch2-2'!$6:$6,0)-1,FALSE)</f>
        <v>9.9</v>
      </c>
      <c r="W12" s="579">
        <f>VLOOKUP($P6,'D_Ch2-2'!$B$6:$AH$22,MATCH("14-T3",'D_Ch2-2'!$6:$6,0)-1,FALSE)</f>
        <v>10</v>
      </c>
      <c r="X12" s="579">
        <f>VLOOKUP($P6,'D_Ch2-2'!$B$6:$AH$22,MATCH("14-T4",'D_Ch2-2'!$6:$6,0)-1,FALSE)</f>
        <v>10.1</v>
      </c>
      <c r="Y12" s="579">
        <f>VLOOKUP($P6,'D_Ch2-2'!$B$6:$AH$22,MATCH("15-T1",'D_Ch2-2'!$6:$6,0)-1,FALSE)</f>
        <v>10.1</v>
      </c>
      <c r="Z12" s="579">
        <f>VLOOKUP($P6,'D_Ch2-2'!$B$6:$AH$22,MATCH("15-T2",'D_Ch2-2'!$6:$6,0)-1,FALSE)</f>
        <v>10.3</v>
      </c>
      <c r="AA12" s="579">
        <f>VLOOKUP($P6,'D_Ch2-2'!$B$6:$AH$22,MATCH("15-T3",'D_Ch2-2'!$6:$6,0)-1,FALSE)</f>
        <v>10.199999999999999</v>
      </c>
      <c r="AB12" s="579">
        <f>VLOOKUP($P6,'D_Ch2-2'!$B$6:$AH$22,MATCH("15-T4",'D_Ch2-2'!$6:$6,0)-1,FALSE)</f>
        <v>9.9</v>
      </c>
      <c r="AC12" s="579">
        <f>VLOOKUP($P6,'D_Ch2-2'!$B$6:$AH$22,MATCH("16-T1",'D_Ch2-2'!$6:$6,0)-1,FALSE)</f>
        <v>9.9</v>
      </c>
      <c r="AD12" s="579">
        <f>VLOOKUP($P6,'D_Ch2-2'!$B$6:$AH$22,MATCH("16-T2",'D_Ch2-2'!$6:$6,0)-1,FALSE)</f>
        <v>9.8000000000000007</v>
      </c>
      <c r="AE12" s="579">
        <f>VLOOKUP($P6,'D_Ch2-2'!$B$6:$AH$22,MATCH("16-T3",'D_Ch2-2'!$6:$6,0)-1,FALSE)</f>
        <v>9.8000000000000007</v>
      </c>
      <c r="AF12" s="579">
        <f>VLOOKUP($P6,'D_Ch2-2'!$B$6:$AH$22,MATCH("16-T4",'D_Ch2-2'!$6:$6,0)-1,FALSE)</f>
        <v>9.6999999999999993</v>
      </c>
      <c r="AG12" s="579">
        <f>VLOOKUP($P6,'D_Ch2-2'!$B$6:$AH$22,MATCH("17-T1",'D_Ch2-2'!$6:$6,0)-1,FALSE)</f>
        <v>9.4</v>
      </c>
      <c r="AH12" s="579">
        <f>VLOOKUP($P6,'D_Ch2-2'!$B$6:$AZ$22,MATCH("17-T2",'D_Ch2-2'!$6:$6,0)-1,FALSE)</f>
        <v>9.1999999999999993</v>
      </c>
      <c r="AI12" s="579">
        <f>VLOOKUP($P6,'D_Ch2-2'!$B$6:$AZ$22,MATCH("17-T3",'D_Ch2-2'!$6:$6,0)-1,FALSE)</f>
        <v>9.4</v>
      </c>
      <c r="AJ12" s="579">
        <f>VLOOKUP($P6,'D_Ch2-2'!$B$6:$AZ$22,MATCH("17-T4",'D_Ch2-2'!$6:$6,0)-1,FALSE)</f>
        <v>8.8000000000000007</v>
      </c>
    </row>
    <row r="13" spans="1:36" s="579" customFormat="1" ht="12.75">
      <c r="A13" s="406" t="str">
        <f>S6</f>
        <v>ZE Marseille</v>
      </c>
      <c r="B13" s="406">
        <f>VLOOKUP($S6,'D_Ch2-2'!$B$6:$AH$22,MATCH("09-T2",'D_Ch2-2'!$6:$6,0)-1,FALSE)</f>
        <v>11.5</v>
      </c>
      <c r="C13" s="406">
        <f>VLOOKUP($S6,'D_Ch2-2'!$B$6:$AH$22,MATCH("09-T3",'D_Ch2-2'!$6:$6,0)-1,FALSE)</f>
        <v>11.6</v>
      </c>
      <c r="D13" s="406">
        <f>VLOOKUP($S6,'D_Ch2-2'!$B$6:$AH$22,MATCH("09-T4",'D_Ch2-2'!$6:$6,0)-1,FALSE)</f>
        <v>12</v>
      </c>
      <c r="E13" s="406">
        <f>VLOOKUP($S6,'D_Ch2-2'!$B$6:$AH$22,MATCH("10-T1",'D_Ch2-2'!$6:$6,0)-1,FALSE)</f>
        <v>11.9</v>
      </c>
      <c r="F13" s="406">
        <f>VLOOKUP($S6,'D_Ch2-2'!$B$6:$AH$22,MATCH("10-T2",'D_Ch2-2'!$6:$6,0)-1,FALSE)</f>
        <v>11.9</v>
      </c>
      <c r="G13" s="406">
        <f>VLOOKUP($S6,'D_Ch2-2'!$B$6:$AH$22,MATCH("10-T3",'D_Ch2-2'!$6:$6,0)-1,FALSE)</f>
        <v>11.9</v>
      </c>
      <c r="H13" s="406">
        <f>VLOOKUP($S6,'D_Ch2-2'!$B$6:$AH$22,MATCH("10-T4",'D_Ch2-2'!$6:$6,0)-1,FALSE)</f>
        <v>12</v>
      </c>
      <c r="I13" s="406">
        <f>VLOOKUP($S6,'D_Ch2-2'!$B$6:$AH$22,MATCH("11-T1",'D_Ch2-2'!$6:$6,0)-1,FALSE)</f>
        <v>12.1</v>
      </c>
      <c r="J13" s="406">
        <f>VLOOKUP($S6,'D_Ch2-2'!$B$6:$AH$22,MATCH("11-T2",'D_Ch2-2'!$6:$6,0)-1,FALSE)</f>
        <v>12.1</v>
      </c>
      <c r="K13" s="406">
        <f>VLOOKUP($S6,'D_Ch2-2'!$B$6:$AH$22,MATCH("11-T3",'D_Ch2-2'!$6:$6,0)-1,FALSE)</f>
        <v>12.2</v>
      </c>
      <c r="L13" s="406">
        <f>VLOOKUP($S6,'D_Ch2-2'!$B$6:$AH$22,MATCH("11-T4",'D_Ch2-2'!$6:$6,0)-1,FALSE)</f>
        <v>12.3</v>
      </c>
      <c r="M13" s="406">
        <f>VLOOKUP($S6,'D_Ch2-2'!$B$6:$AH$22,MATCH("12-T1",'D_Ch2-2'!$6:$6,0)-1,FALSE)</f>
        <v>12.3</v>
      </c>
      <c r="N13" s="406">
        <f>VLOOKUP($S6,'D_Ch2-2'!$B$6:$AH$22,MATCH("12-T2",'D_Ch2-2'!$6:$6,0)-1,FALSE)</f>
        <v>12.5</v>
      </c>
      <c r="O13" s="406">
        <f>VLOOKUP($S6,'D_Ch2-2'!$B$6:$AH$22,MATCH("12-T3",'D_Ch2-2'!$6:$6,0)-1,FALSE)</f>
        <v>12.4</v>
      </c>
      <c r="P13" s="406">
        <f>VLOOKUP($S6,'D_Ch2-2'!$B$6:$AH$22,MATCH("12-T4",'D_Ch2-2'!$6:$6,0)-1,FALSE)</f>
        <v>12.6</v>
      </c>
      <c r="Q13" s="579">
        <f>VLOOKUP($S6,'D_Ch2-2'!$B$6:$AH$22,MATCH("13-T1",'D_Ch2-2'!$6:$6,0)-1,FALSE)</f>
        <v>12.8</v>
      </c>
      <c r="R13" s="579">
        <f>VLOOKUP($S6,'D_Ch2-2'!$B$6:$AH$22,MATCH("13-T2",'D_Ch2-2'!$6:$6,0)-1,FALSE)</f>
        <v>12.9</v>
      </c>
      <c r="S13" s="579">
        <f>VLOOKUP($S6,'D_Ch2-2'!$B$6:$AH$22,MATCH("13-T3",'D_Ch2-2'!$6:$6,0)-1,FALSE)</f>
        <v>12.7</v>
      </c>
      <c r="T13" s="579">
        <f>VLOOKUP($S6,'D_Ch2-2'!$B$6:$AH$22,MATCH("13-T4",'D_Ch2-2'!$6:$6,0)-1,FALSE)</f>
        <v>12.5</v>
      </c>
      <c r="U13" s="579">
        <f>VLOOKUP($S6,'D_Ch2-2'!$B$6:$AH$22,MATCH("14-T1",'D_Ch2-2'!$6:$6,0)-1,FALSE)</f>
        <v>12.5</v>
      </c>
      <c r="V13" s="579">
        <f>VLOOKUP($S6,'D_Ch2-2'!$B$6:$AH$22,MATCH("14-T2",'D_Ch2-2'!$6:$6,0)-1,FALSE)</f>
        <v>12.5</v>
      </c>
      <c r="W13" s="579">
        <f>VLOOKUP($S6,'D_Ch2-2'!$B$6:$AH$22,MATCH("14-T3",'D_Ch2-2'!$6:$6,0)-1,FALSE)</f>
        <v>12.6</v>
      </c>
      <c r="X13" s="579">
        <f>VLOOKUP($S6,'D_Ch2-2'!$B$6:$AH$22,MATCH("14-T4",'D_Ch2-2'!$6:$6,0)-1,FALSE)</f>
        <v>12.7</v>
      </c>
      <c r="Y13" s="579">
        <f>VLOOKUP($S6,'D_Ch2-2'!$B$6:$AH$22,MATCH("15-T1",'D_Ch2-2'!$6:$6,0)-1,FALSE)</f>
        <v>12.5</v>
      </c>
      <c r="Z13" s="579">
        <f>VLOOKUP($S6,'D_Ch2-2'!$B$6:$AH$22,MATCH("15-T2",'D_Ch2-2'!$6:$6,0)-1,FALSE)</f>
        <v>12.8</v>
      </c>
      <c r="AA13" s="579">
        <f>VLOOKUP($S6,'D_Ch2-2'!$B$6:$AH$22,MATCH("15-T3",'D_Ch2-2'!$6:$6,0)-1,FALSE)</f>
        <v>12.6</v>
      </c>
      <c r="AB13" s="579">
        <f>VLOOKUP($S6,'D_Ch2-2'!$B$6:$AH$22,MATCH("15-T4",'D_Ch2-2'!$6:$6,0)-1,FALSE)</f>
        <v>12.4</v>
      </c>
      <c r="AC13" s="579">
        <f>VLOOKUP($S6,'D_Ch2-2'!$B$6:$AH$22,MATCH("16-T1",'D_Ch2-2'!$6:$6,0)-1,FALSE)</f>
        <v>12.4</v>
      </c>
      <c r="AD13" s="579">
        <f>VLOOKUP($S6,'D_Ch2-2'!$B$6:$AH$22,MATCH("16-T2",'D_Ch2-2'!$6:$6,0)-1,FALSE)</f>
        <v>12.2</v>
      </c>
      <c r="AE13" s="579">
        <f>VLOOKUP($S6,'D_Ch2-2'!$B$6:$AH$22,MATCH("16-T3",'D_Ch2-2'!$6:$6,0)-1,FALSE)</f>
        <v>12.2</v>
      </c>
      <c r="AF13" s="579">
        <f>VLOOKUP($S6,'D_Ch2-2'!$B$6:$AH$22,MATCH("16-T4",'D_Ch2-2'!$6:$6,0)-1,FALSE)</f>
        <v>12.5</v>
      </c>
      <c r="AG13" s="579">
        <f>VLOOKUP($S6,'D_Ch2-2'!$B$6:$AH$22,MATCH("17-T1",'D_Ch2-2'!$6:$6,0)-1,FALSE)</f>
        <v>12</v>
      </c>
      <c r="AH13" s="579">
        <f>VLOOKUP($S6,'D_Ch2-2'!$B$6:$AZ$22,MATCH("17-T2",'D_Ch2-2'!$6:$6,0)-1,FALSE)</f>
        <v>11.9</v>
      </c>
      <c r="AI13" s="579">
        <f>VLOOKUP($S6,'D_Ch2-2'!$B$6:$AZ$22,MATCH("17-T3",'D_Ch2-2'!$6:$6,0)-1,FALSE)</f>
        <v>12.3</v>
      </c>
      <c r="AJ13" s="579">
        <f>VLOOKUP($S6,'D_Ch2-2'!$B$6:$AZ$22,MATCH("17-T4",'D_Ch2-2'!$6:$6,0)-1,FALSE)</f>
        <v>11.4</v>
      </c>
    </row>
    <row r="14" spans="1:36" s="579" customFormat="1" ht="12.75">
      <c r="A14" s="406"/>
      <c r="B14" s="406"/>
      <c r="C14" s="406"/>
      <c r="D14" s="406"/>
      <c r="E14" s="406"/>
      <c r="F14" s="406"/>
      <c r="G14" s="406"/>
      <c r="H14" s="406"/>
      <c r="I14" s="406"/>
      <c r="J14" s="406"/>
      <c r="K14" s="406"/>
      <c r="L14" s="406"/>
      <c r="M14" s="406"/>
      <c r="N14" s="406"/>
      <c r="O14" s="406"/>
      <c r="P14" s="406"/>
      <c r="Q14" s="406"/>
      <c r="R14" s="406"/>
      <c r="S14" s="406"/>
      <c r="T14" s="406"/>
    </row>
    <row r="16" spans="1:36">
      <c r="A16" s="224" t="s">
        <v>1298</v>
      </c>
      <c r="B16" s="224">
        <f>MIN(B9:AZ13)</f>
        <v>6.8</v>
      </c>
    </row>
    <row r="17" spans="1:34">
      <c r="A17" s="224" t="s">
        <v>1299</v>
      </c>
      <c r="B17" s="224">
        <f>MAX(B9:AZ13)</f>
        <v>12.9</v>
      </c>
      <c r="Z17" s="637"/>
      <c r="AA17" s="637"/>
      <c r="AB17" s="637"/>
      <c r="AC17" s="637"/>
      <c r="AD17" s="637"/>
      <c r="AE17" s="637"/>
      <c r="AF17" s="637"/>
      <c r="AG17" s="637"/>
      <c r="AH17" s="637"/>
    </row>
    <row r="20" spans="1:34" customFormat="1" ht="48.75" customHeight="1">
      <c r="A20" s="1088" t="s">
        <v>1302</v>
      </c>
      <c r="B20" s="1088"/>
      <c r="C20" s="1088"/>
      <c r="D20" s="1088"/>
      <c r="E20" s="1088"/>
      <c r="F20" s="1088"/>
      <c r="G20" s="1088"/>
      <c r="H20" s="1088"/>
      <c r="I20" s="1088"/>
      <c r="J20" s="1088"/>
      <c r="K20" s="1088"/>
      <c r="L20" s="1088"/>
    </row>
    <row r="21" spans="1:34" customFormat="1" ht="48.75" customHeight="1">
      <c r="A21" s="1088"/>
      <c r="B21" s="1088"/>
      <c r="C21" s="1088"/>
      <c r="D21" s="1088"/>
      <c r="E21" s="1088"/>
      <c r="F21" s="1088"/>
      <c r="G21" s="1088"/>
      <c r="H21" s="1088"/>
      <c r="I21" s="1088"/>
      <c r="J21" s="1088"/>
      <c r="K21" s="1088"/>
      <c r="L21" s="1088"/>
    </row>
  </sheetData>
  <mergeCells count="6">
    <mergeCell ref="A20:L21"/>
    <mergeCell ref="S6:T6"/>
    <mergeCell ref="G6:H6"/>
    <mergeCell ref="J6:K6"/>
    <mergeCell ref="M6:N6"/>
    <mergeCell ref="P6:Q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'D_Ch2-2'!$B$7:$B$22</xm:f>
          </x14:formula1>
          <xm:sqref>J6:K6 G6:H6 M6:N6 P6:Q6 S6:T6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M151"/>
  <sheetViews>
    <sheetView topLeftCell="A4" workbookViewId="0">
      <selection activeCell="F31" sqref="F31"/>
    </sheetView>
  </sheetViews>
  <sheetFormatPr baseColWidth="10" defaultRowHeight="15"/>
  <cols>
    <col min="4" max="4" width="16" customWidth="1"/>
    <col min="5" max="5" width="16.42578125" customWidth="1"/>
    <col min="6" max="6" width="16" customWidth="1"/>
    <col min="8" max="8" width="93.42578125" customWidth="1"/>
    <col min="9" max="11" width="11.42578125" style="21"/>
  </cols>
  <sheetData>
    <row r="1" spans="2:13" s="803" customFormat="1">
      <c r="B1" s="803" t="s">
        <v>1539</v>
      </c>
      <c r="C1" s="803" t="s">
        <v>1377</v>
      </c>
      <c r="D1" s="803" t="s">
        <v>1376</v>
      </c>
      <c r="E1" s="803" t="s">
        <v>1538</v>
      </c>
      <c r="F1" s="803" t="s">
        <v>1386</v>
      </c>
      <c r="G1" s="803" t="s">
        <v>1540</v>
      </c>
      <c r="H1" s="803" t="s">
        <v>1651</v>
      </c>
      <c r="I1" s="803" t="s">
        <v>1378</v>
      </c>
      <c r="J1" s="803" t="s">
        <v>1379</v>
      </c>
      <c r="K1" s="803" t="s">
        <v>1380</v>
      </c>
      <c r="L1" s="803" t="s">
        <v>1381</v>
      </c>
      <c r="M1" s="803" t="s">
        <v>1382</v>
      </c>
    </row>
    <row r="2" spans="2:13" s="124" customFormat="1">
      <c r="B2" s="973">
        <v>9313</v>
      </c>
      <c r="C2" s="973">
        <v>1</v>
      </c>
      <c r="D2" s="973" t="s">
        <v>2002</v>
      </c>
      <c r="E2" s="973" t="s">
        <v>682</v>
      </c>
      <c r="F2" s="973" t="s">
        <v>2002</v>
      </c>
      <c r="G2" s="973" t="s">
        <v>201</v>
      </c>
      <c r="H2" s="973" t="s">
        <v>1383</v>
      </c>
      <c r="I2" s="974">
        <v>1549.1441288000001</v>
      </c>
      <c r="J2" s="974">
        <v>1273.6420072999999</v>
      </c>
      <c r="K2" s="974">
        <v>385.89461262999998</v>
      </c>
      <c r="L2" s="124">
        <f>J2/$I2</f>
        <v>0.8221584961798164</v>
      </c>
      <c r="M2" s="928">
        <f t="shared" ref="M2:M65" si="0">K2/$I2</f>
        <v>0.24910181399901257</v>
      </c>
    </row>
    <row r="3" spans="2:13" s="124" customFormat="1">
      <c r="B3" s="973">
        <v>9313</v>
      </c>
      <c r="C3" s="973">
        <v>2</v>
      </c>
      <c r="D3" s="973" t="s">
        <v>2003</v>
      </c>
      <c r="E3" s="973" t="s">
        <v>682</v>
      </c>
      <c r="F3" s="973" t="s">
        <v>2003</v>
      </c>
      <c r="G3" s="973" t="s">
        <v>184</v>
      </c>
      <c r="H3" s="973" t="s">
        <v>616</v>
      </c>
      <c r="I3" s="974">
        <v>737.20791890999999</v>
      </c>
      <c r="J3" s="974">
        <v>251.76113075000001</v>
      </c>
      <c r="K3" s="974">
        <v>442.76513233999998</v>
      </c>
      <c r="L3" s="124">
        <f t="shared" ref="L3:L65" si="1">J3/$I3</f>
        <v>0.34150627562742658</v>
      </c>
      <c r="M3" s="928">
        <f t="shared" si="0"/>
        <v>0.60059736335259539</v>
      </c>
    </row>
    <row r="4" spans="2:13" s="124" customFormat="1">
      <c r="B4" s="973">
        <v>9313</v>
      </c>
      <c r="C4" s="973">
        <v>3</v>
      </c>
      <c r="D4" s="973" t="s">
        <v>2004</v>
      </c>
      <c r="E4" s="973" t="s">
        <v>682</v>
      </c>
      <c r="F4" s="973" t="s">
        <v>2004</v>
      </c>
      <c r="G4" s="973" t="s">
        <v>185</v>
      </c>
      <c r="H4" s="973" t="s">
        <v>617</v>
      </c>
      <c r="I4" s="974">
        <v>694.39885855</v>
      </c>
      <c r="J4" s="974">
        <v>333.24120971999997</v>
      </c>
      <c r="K4" s="974">
        <v>320.78475637000003</v>
      </c>
      <c r="L4" s="124">
        <f t="shared" si="1"/>
        <v>0.47989884432680852</v>
      </c>
      <c r="M4" s="928">
        <f t="shared" si="0"/>
        <v>0.4619603739554563</v>
      </c>
    </row>
    <row r="5" spans="2:13" s="124" customFormat="1">
      <c r="B5" s="973">
        <v>9313</v>
      </c>
      <c r="C5" s="973">
        <v>4</v>
      </c>
      <c r="D5" s="973" t="s">
        <v>2005</v>
      </c>
      <c r="E5" s="973" t="s">
        <v>682</v>
      </c>
      <c r="F5" s="973" t="s">
        <v>2005</v>
      </c>
      <c r="G5" s="973" t="s">
        <v>197</v>
      </c>
      <c r="H5" s="973" t="s">
        <v>624</v>
      </c>
      <c r="I5" s="974">
        <v>570.2683882</v>
      </c>
      <c r="J5" s="974">
        <v>200</v>
      </c>
      <c r="K5" s="974">
        <v>168.27624041000001</v>
      </c>
      <c r="L5" s="124">
        <f t="shared" si="1"/>
        <v>0.35071205793342625</v>
      </c>
      <c r="M5" s="928">
        <f t="shared" si="0"/>
        <v>0.29508253287745545</v>
      </c>
    </row>
    <row r="6" spans="2:13" s="124" customFormat="1">
      <c r="B6" s="973">
        <v>9313</v>
      </c>
      <c r="C6" s="973">
        <v>5</v>
      </c>
      <c r="D6" s="973" t="s">
        <v>2006</v>
      </c>
      <c r="E6" s="973" t="s">
        <v>682</v>
      </c>
      <c r="F6" s="973" t="s">
        <v>2006</v>
      </c>
      <c r="G6" s="973" t="s">
        <v>198</v>
      </c>
      <c r="H6" s="973" t="s">
        <v>625</v>
      </c>
      <c r="I6" s="974">
        <v>479.69469385999997</v>
      </c>
      <c r="J6" s="974">
        <v>13.591169507</v>
      </c>
      <c r="K6" s="974">
        <v>301.80846625999999</v>
      </c>
      <c r="L6" s="124">
        <f t="shared" si="1"/>
        <v>2.8332957777028517E-2</v>
      </c>
      <c r="M6" s="928">
        <f t="shared" si="0"/>
        <v>0.62916782304055152</v>
      </c>
    </row>
    <row r="7" spans="2:13" s="124" customFormat="1">
      <c r="B7" s="973">
        <v>9313</v>
      </c>
      <c r="C7" s="973">
        <v>6</v>
      </c>
      <c r="D7" s="973" t="s">
        <v>2007</v>
      </c>
      <c r="E7" s="973" t="s">
        <v>682</v>
      </c>
      <c r="F7" s="973" t="s">
        <v>2007</v>
      </c>
      <c r="G7" s="973" t="s">
        <v>226</v>
      </c>
      <c r="H7" s="973" t="s">
        <v>635</v>
      </c>
      <c r="I7" s="974">
        <v>479.30883279</v>
      </c>
      <c r="J7" s="974"/>
      <c r="K7" s="974">
        <v>475.79503975</v>
      </c>
      <c r="L7" s="124">
        <f t="shared" si="1"/>
        <v>0</v>
      </c>
      <c r="M7" s="928">
        <f t="shared" si="0"/>
        <v>0.99266904175425552</v>
      </c>
    </row>
    <row r="8" spans="2:13" s="124" customFormat="1">
      <c r="B8" s="973">
        <v>9313</v>
      </c>
      <c r="C8" s="973">
        <v>7</v>
      </c>
      <c r="D8" s="973" t="s">
        <v>2008</v>
      </c>
      <c r="E8" s="973" t="s">
        <v>682</v>
      </c>
      <c r="F8" s="973" t="s">
        <v>2008</v>
      </c>
      <c r="G8" s="973" t="s">
        <v>200</v>
      </c>
      <c r="H8" s="973" t="s">
        <v>626</v>
      </c>
      <c r="I8" s="974">
        <v>479.10099303999999</v>
      </c>
      <c r="J8" s="974">
        <v>357.63731552000002</v>
      </c>
      <c r="K8" s="974">
        <v>50.292827920999997</v>
      </c>
      <c r="L8" s="124">
        <f t="shared" si="1"/>
        <v>0.74647583852981281</v>
      </c>
      <c r="M8" s="928">
        <f t="shared" si="0"/>
        <v>0.10497333266182787</v>
      </c>
    </row>
    <row r="9" spans="2:13" s="124" customFormat="1">
      <c r="B9" s="973">
        <v>9313</v>
      </c>
      <c r="C9" s="973">
        <v>8</v>
      </c>
      <c r="D9" s="973" t="s">
        <v>2009</v>
      </c>
      <c r="E9" s="973" t="s">
        <v>682</v>
      </c>
      <c r="F9" s="973" t="s">
        <v>2009</v>
      </c>
      <c r="G9" s="973" t="s">
        <v>216</v>
      </c>
      <c r="H9" s="973" t="s">
        <v>217</v>
      </c>
      <c r="I9" s="974">
        <v>456.78749692000002</v>
      </c>
      <c r="J9" s="974">
        <v>425.74626194000001</v>
      </c>
      <c r="K9" s="974"/>
      <c r="L9" s="124">
        <f t="shared" si="1"/>
        <v>0.93204447321937878</v>
      </c>
      <c r="M9" s="928">
        <f t="shared" si="0"/>
        <v>0</v>
      </c>
    </row>
    <row r="10" spans="2:13" s="124" customFormat="1">
      <c r="B10" s="973">
        <v>9313</v>
      </c>
      <c r="C10" s="973">
        <v>9</v>
      </c>
      <c r="D10" s="973" t="s">
        <v>2010</v>
      </c>
      <c r="E10" s="973" t="s">
        <v>682</v>
      </c>
      <c r="F10" s="973" t="s">
        <v>2010</v>
      </c>
      <c r="G10" s="973" t="s">
        <v>189</v>
      </c>
      <c r="H10" s="973" t="s">
        <v>619</v>
      </c>
      <c r="I10" s="974">
        <v>453.67653705999999</v>
      </c>
      <c r="J10" s="974">
        <v>26.394942513</v>
      </c>
      <c r="K10" s="974">
        <v>161.39494250999999</v>
      </c>
      <c r="L10" s="124">
        <f t="shared" si="1"/>
        <v>5.8180091666299234E-2</v>
      </c>
      <c r="M10" s="928">
        <f t="shared" si="0"/>
        <v>0.35574892974607381</v>
      </c>
    </row>
    <row r="11" spans="2:13" s="124" customFormat="1">
      <c r="B11" s="973">
        <v>9313</v>
      </c>
      <c r="C11" s="973">
        <v>10</v>
      </c>
      <c r="D11" s="973" t="s">
        <v>2011</v>
      </c>
      <c r="E11" s="973" t="s">
        <v>682</v>
      </c>
      <c r="F11" s="973" t="s">
        <v>2011</v>
      </c>
      <c r="G11" s="973" t="s">
        <v>188</v>
      </c>
      <c r="H11" s="973" t="s">
        <v>618</v>
      </c>
      <c r="I11" s="974">
        <v>452.72872572</v>
      </c>
      <c r="J11" s="974">
        <v>256.59873563000002</v>
      </c>
      <c r="K11" s="974">
        <v>420.88979425999997</v>
      </c>
      <c r="L11" s="124">
        <f t="shared" si="1"/>
        <v>0.56678253676507184</v>
      </c>
      <c r="M11" s="928">
        <f t="shared" si="0"/>
        <v>0.92967326866797595</v>
      </c>
    </row>
    <row r="12" spans="2:13" s="124" customFormat="1">
      <c r="B12" s="973">
        <v>9304</v>
      </c>
      <c r="C12" s="973">
        <v>1</v>
      </c>
      <c r="D12" s="973" t="s">
        <v>2023</v>
      </c>
      <c r="E12" s="973" t="s">
        <v>680</v>
      </c>
      <c r="F12" s="973" t="s">
        <v>2023</v>
      </c>
      <c r="G12" s="973" t="s">
        <v>188</v>
      </c>
      <c r="H12" s="973" t="s">
        <v>618</v>
      </c>
      <c r="I12" s="974">
        <v>2149.8609723</v>
      </c>
      <c r="J12" s="974">
        <v>1798.367859</v>
      </c>
      <c r="K12" s="974">
        <v>1920.3360809000001</v>
      </c>
      <c r="L12" s="124">
        <f t="shared" si="1"/>
        <v>0.83650425872703771</v>
      </c>
      <c r="M12" s="928">
        <f t="shared" si="0"/>
        <v>0.89323733285206541</v>
      </c>
    </row>
    <row r="13" spans="2:13" s="124" customFormat="1">
      <c r="B13" s="973">
        <v>9304</v>
      </c>
      <c r="C13" s="973">
        <v>2</v>
      </c>
      <c r="D13" s="973" t="s">
        <v>2024</v>
      </c>
      <c r="E13" s="973" t="s">
        <v>680</v>
      </c>
      <c r="F13" s="973" t="s">
        <v>2024</v>
      </c>
      <c r="G13" s="973" t="s">
        <v>184</v>
      </c>
      <c r="H13" s="973" t="s">
        <v>616</v>
      </c>
      <c r="I13" s="974">
        <v>1850.3641061000001</v>
      </c>
      <c r="J13" s="974">
        <v>599.13364815</v>
      </c>
      <c r="K13" s="974">
        <v>1275.0846113</v>
      </c>
      <c r="L13" s="124">
        <f t="shared" si="1"/>
        <v>0.32379229913446061</v>
      </c>
      <c r="M13" s="928">
        <f t="shared" si="0"/>
        <v>0.68909930056278879</v>
      </c>
    </row>
    <row r="14" spans="2:13" s="124" customFormat="1">
      <c r="B14" s="973">
        <v>9304</v>
      </c>
      <c r="C14" s="973">
        <v>3</v>
      </c>
      <c r="D14" s="973" t="s">
        <v>2025</v>
      </c>
      <c r="E14" s="973" t="s">
        <v>680</v>
      </c>
      <c r="F14" s="973" t="s">
        <v>2025</v>
      </c>
      <c r="G14" s="973" t="s">
        <v>189</v>
      </c>
      <c r="H14" s="973" t="s">
        <v>619</v>
      </c>
      <c r="I14" s="974">
        <v>1278.4805808000001</v>
      </c>
      <c r="J14" s="974">
        <v>9.7832411595999993</v>
      </c>
      <c r="K14" s="974">
        <v>199.05683930000001</v>
      </c>
      <c r="L14" s="124">
        <f t="shared" si="1"/>
        <v>7.6522407195877828E-3</v>
      </c>
      <c r="M14" s="928">
        <f t="shared" si="0"/>
        <v>0.15569797640214575</v>
      </c>
    </row>
    <row r="15" spans="2:13" s="124" customFormat="1">
      <c r="B15" s="973">
        <v>9304</v>
      </c>
      <c r="C15" s="973">
        <v>4</v>
      </c>
      <c r="D15" s="973" t="s">
        <v>2026</v>
      </c>
      <c r="E15" s="973" t="s">
        <v>680</v>
      </c>
      <c r="F15" s="973" t="s">
        <v>2026</v>
      </c>
      <c r="G15" s="973" t="s">
        <v>185</v>
      </c>
      <c r="H15" s="973" t="s">
        <v>617</v>
      </c>
      <c r="I15" s="974">
        <v>1251.9904494</v>
      </c>
      <c r="J15" s="974">
        <v>546.01208709000002</v>
      </c>
      <c r="K15" s="974">
        <v>737.49036824999996</v>
      </c>
      <c r="L15" s="124">
        <f t="shared" si="1"/>
        <v>0.43611521745367082</v>
      </c>
      <c r="M15" s="928">
        <f t="shared" si="0"/>
        <v>0.58905430836427908</v>
      </c>
    </row>
    <row r="16" spans="2:13" s="124" customFormat="1">
      <c r="B16" s="973">
        <v>9304</v>
      </c>
      <c r="C16" s="973">
        <v>5</v>
      </c>
      <c r="D16" s="973" t="s">
        <v>2027</v>
      </c>
      <c r="E16" s="973" t="s">
        <v>680</v>
      </c>
      <c r="F16" s="973" t="s">
        <v>2027</v>
      </c>
      <c r="G16" s="973" t="s">
        <v>186</v>
      </c>
      <c r="H16" s="973" t="s">
        <v>187</v>
      </c>
      <c r="I16" s="974">
        <v>958.93245063999996</v>
      </c>
      <c r="J16" s="974">
        <v>357.96339690999997</v>
      </c>
      <c r="K16" s="974">
        <v>766.46800476999999</v>
      </c>
      <c r="L16" s="124">
        <f t="shared" si="1"/>
        <v>0.3732936524059563</v>
      </c>
      <c r="M16" s="928">
        <f t="shared" si="0"/>
        <v>0.79929300990747831</v>
      </c>
    </row>
    <row r="17" spans="2:13" s="124" customFormat="1">
      <c r="B17" s="973">
        <v>9304</v>
      </c>
      <c r="C17" s="973">
        <v>6</v>
      </c>
      <c r="D17" s="973" t="s">
        <v>2028</v>
      </c>
      <c r="E17" s="973" t="s">
        <v>680</v>
      </c>
      <c r="F17" s="973" t="s">
        <v>2028</v>
      </c>
      <c r="G17" s="973" t="s">
        <v>201</v>
      </c>
      <c r="H17" s="973" t="s">
        <v>1383</v>
      </c>
      <c r="I17" s="974">
        <v>840.81459199000005</v>
      </c>
      <c r="J17" s="974">
        <v>82.462749344000002</v>
      </c>
      <c r="K17" s="974">
        <v>259.46273546999998</v>
      </c>
      <c r="L17" s="124">
        <f t="shared" si="1"/>
        <v>9.8074831395148707E-2</v>
      </c>
      <c r="M17" s="928">
        <f t="shared" si="0"/>
        <v>0.30858495789888218</v>
      </c>
    </row>
    <row r="18" spans="2:13" s="124" customFormat="1">
      <c r="B18" s="973">
        <v>9304</v>
      </c>
      <c r="C18" s="973">
        <v>7</v>
      </c>
      <c r="D18" s="973" t="s">
        <v>2029</v>
      </c>
      <c r="E18" s="973" t="s">
        <v>680</v>
      </c>
      <c r="F18" s="973" t="s">
        <v>2029</v>
      </c>
      <c r="G18" s="973" t="s">
        <v>190</v>
      </c>
      <c r="H18" s="973" t="s">
        <v>627</v>
      </c>
      <c r="I18" s="974">
        <v>776.83242690999998</v>
      </c>
      <c r="J18" s="974">
        <v>283.98614979000001</v>
      </c>
      <c r="K18" s="974">
        <v>445.06384517999999</v>
      </c>
      <c r="L18" s="124">
        <f t="shared" si="1"/>
        <v>0.36556938144254536</v>
      </c>
      <c r="M18" s="928">
        <f t="shared" si="0"/>
        <v>0.57292130163814969</v>
      </c>
    </row>
    <row r="19" spans="2:13" s="124" customFormat="1">
      <c r="B19" s="973">
        <v>9304</v>
      </c>
      <c r="C19" s="973">
        <v>8</v>
      </c>
      <c r="D19" s="973" t="s">
        <v>2030</v>
      </c>
      <c r="E19" s="973" t="s">
        <v>680</v>
      </c>
      <c r="F19" s="973" t="s">
        <v>2030</v>
      </c>
      <c r="G19" s="973" t="s">
        <v>200</v>
      </c>
      <c r="H19" s="973" t="s">
        <v>626</v>
      </c>
      <c r="I19" s="974">
        <v>776.22171934999994</v>
      </c>
      <c r="J19" s="974">
        <v>393.49665621999998</v>
      </c>
      <c r="K19" s="974">
        <v>80.756624873999996</v>
      </c>
      <c r="L19" s="124">
        <f t="shared" si="1"/>
        <v>0.50693847699792527</v>
      </c>
      <c r="M19" s="928">
        <f t="shared" si="0"/>
        <v>0.10403808971182198</v>
      </c>
    </row>
    <row r="20" spans="2:13" s="124" customFormat="1">
      <c r="B20" s="973">
        <v>9304</v>
      </c>
      <c r="C20" s="973">
        <v>9</v>
      </c>
      <c r="D20" s="973" t="s">
        <v>2031</v>
      </c>
      <c r="E20" s="973" t="s">
        <v>680</v>
      </c>
      <c r="F20" s="973" t="s">
        <v>2031</v>
      </c>
      <c r="G20" s="973" t="s">
        <v>191</v>
      </c>
      <c r="H20" s="973" t="s">
        <v>192</v>
      </c>
      <c r="I20" s="974">
        <v>759.23352769999997</v>
      </c>
      <c r="J20" s="974">
        <v>350.01773881999998</v>
      </c>
      <c r="K20" s="974">
        <v>508.32335103000003</v>
      </c>
      <c r="L20" s="124">
        <f t="shared" si="1"/>
        <v>0.46101459702436159</v>
      </c>
      <c r="M20" s="928">
        <f t="shared" si="0"/>
        <v>0.66952173802163351</v>
      </c>
    </row>
    <row r="21" spans="2:13" s="124" customFormat="1">
      <c r="B21" s="973">
        <v>9304</v>
      </c>
      <c r="C21" s="973">
        <v>10</v>
      </c>
      <c r="D21" s="973" t="s">
        <v>2032</v>
      </c>
      <c r="E21" s="973" t="s">
        <v>680</v>
      </c>
      <c r="F21" s="973" t="s">
        <v>2032</v>
      </c>
      <c r="G21" s="973" t="s">
        <v>196</v>
      </c>
      <c r="H21" s="973" t="s">
        <v>623</v>
      </c>
      <c r="I21" s="974">
        <v>751.19754178999995</v>
      </c>
      <c r="J21" s="974">
        <v>60.389429296000003</v>
      </c>
      <c r="K21" s="974">
        <v>11.365671359</v>
      </c>
      <c r="L21" s="124">
        <f t="shared" si="1"/>
        <v>8.0390877148107193E-2</v>
      </c>
      <c r="M21" s="928">
        <f t="shared" si="0"/>
        <v>1.5130069957254088E-2</v>
      </c>
    </row>
    <row r="22" spans="2:13" s="124" customFormat="1">
      <c r="B22" s="973">
        <v>9311</v>
      </c>
      <c r="C22" s="973">
        <v>1</v>
      </c>
      <c r="D22" s="973" t="s">
        <v>2012</v>
      </c>
      <c r="E22" s="973" t="s">
        <v>2013</v>
      </c>
      <c r="F22" s="973" t="s">
        <v>2051</v>
      </c>
      <c r="G22" s="973" t="s">
        <v>184</v>
      </c>
      <c r="H22" s="973" t="s">
        <v>616</v>
      </c>
      <c r="I22" s="974">
        <v>1931.8223869999999</v>
      </c>
      <c r="J22" s="974">
        <v>1096.1878179</v>
      </c>
      <c r="K22" s="974">
        <v>1646.4485109</v>
      </c>
      <c r="L22" s="124">
        <f t="shared" si="1"/>
        <v>0.56743716465689764</v>
      </c>
      <c r="M22" s="928">
        <f t="shared" si="0"/>
        <v>0.85227737393437719</v>
      </c>
    </row>
    <row r="23" spans="2:13" s="124" customFormat="1">
      <c r="B23" s="973">
        <v>9311</v>
      </c>
      <c r="C23" s="973">
        <v>2</v>
      </c>
      <c r="D23" s="973" t="s">
        <v>2014</v>
      </c>
      <c r="E23" s="973" t="s">
        <v>2013</v>
      </c>
      <c r="F23" s="973" t="s">
        <v>2051</v>
      </c>
      <c r="G23" s="973" t="s">
        <v>201</v>
      </c>
      <c r="H23" s="973" t="s">
        <v>1383</v>
      </c>
      <c r="I23" s="974">
        <v>1856.5254351999999</v>
      </c>
      <c r="J23" s="974">
        <v>950.18061021000005</v>
      </c>
      <c r="K23" s="974">
        <v>390.19710142000002</v>
      </c>
      <c r="L23" s="124">
        <f t="shared" si="1"/>
        <v>0.51180586712922627</v>
      </c>
      <c r="M23" s="928">
        <f t="shared" si="0"/>
        <v>0.21017600622205579</v>
      </c>
    </row>
    <row r="24" spans="2:13" s="124" customFormat="1">
      <c r="B24" s="973">
        <v>9311</v>
      </c>
      <c r="C24" s="973">
        <v>3</v>
      </c>
      <c r="D24" s="973" t="s">
        <v>2015</v>
      </c>
      <c r="E24" s="973" t="s">
        <v>2013</v>
      </c>
      <c r="F24" s="973" t="s">
        <v>2051</v>
      </c>
      <c r="G24" s="973" t="s">
        <v>185</v>
      </c>
      <c r="H24" s="973" t="s">
        <v>617</v>
      </c>
      <c r="I24" s="974">
        <v>1592.5476484000001</v>
      </c>
      <c r="J24" s="974">
        <v>419.85629045000002</v>
      </c>
      <c r="K24" s="974">
        <v>1071.2259632</v>
      </c>
      <c r="L24" s="124">
        <f t="shared" si="1"/>
        <v>0.26363813407518516</v>
      </c>
      <c r="M24" s="928">
        <f t="shared" si="0"/>
        <v>0.672649238643653</v>
      </c>
    </row>
    <row r="25" spans="2:13" s="124" customFormat="1">
      <c r="B25" s="973">
        <v>9311</v>
      </c>
      <c r="C25" s="973">
        <v>4</v>
      </c>
      <c r="D25" s="973" t="s">
        <v>2016</v>
      </c>
      <c r="E25" s="973" t="s">
        <v>2013</v>
      </c>
      <c r="F25" s="973" t="s">
        <v>2051</v>
      </c>
      <c r="G25" s="973" t="s">
        <v>226</v>
      </c>
      <c r="H25" s="973" t="s">
        <v>635</v>
      </c>
      <c r="I25" s="974">
        <v>1221.8433457000001</v>
      </c>
      <c r="J25" s="974">
        <v>189.93763851</v>
      </c>
      <c r="K25" s="974">
        <v>1161.5553930999999</v>
      </c>
      <c r="L25" s="124">
        <f t="shared" si="1"/>
        <v>0.15545171087475521</v>
      </c>
      <c r="M25" s="928">
        <f t="shared" si="0"/>
        <v>0.95065819786786099</v>
      </c>
    </row>
    <row r="26" spans="2:13" s="124" customFormat="1">
      <c r="B26" s="973">
        <v>9311</v>
      </c>
      <c r="C26" s="973">
        <v>5</v>
      </c>
      <c r="D26" s="973" t="s">
        <v>2017</v>
      </c>
      <c r="E26" s="973" t="s">
        <v>2013</v>
      </c>
      <c r="F26" s="973" t="s">
        <v>2051</v>
      </c>
      <c r="G26" s="973" t="s">
        <v>193</v>
      </c>
      <c r="H26" s="973" t="s">
        <v>620</v>
      </c>
      <c r="I26" s="974">
        <v>926.21561084999996</v>
      </c>
      <c r="J26" s="974">
        <v>904.77740496000001</v>
      </c>
      <c r="K26" s="974">
        <v>76.752502032999999</v>
      </c>
      <c r="L26" s="124">
        <f t="shared" si="1"/>
        <v>0.97685397909637284</v>
      </c>
      <c r="M26" s="928">
        <f t="shared" si="0"/>
        <v>8.2866776519306601E-2</v>
      </c>
    </row>
    <row r="27" spans="2:13" s="124" customFormat="1">
      <c r="B27" s="973">
        <v>9311</v>
      </c>
      <c r="C27" s="973">
        <v>6</v>
      </c>
      <c r="D27" s="973" t="s">
        <v>2018</v>
      </c>
      <c r="E27" s="973" t="s">
        <v>2013</v>
      </c>
      <c r="F27" s="973" t="s">
        <v>2051</v>
      </c>
      <c r="G27" s="973" t="s">
        <v>188</v>
      </c>
      <c r="H27" s="973" t="s">
        <v>618</v>
      </c>
      <c r="I27" s="974">
        <v>797.01735369000005</v>
      </c>
      <c r="J27" s="974">
        <v>94.939498748000005</v>
      </c>
      <c r="K27" s="974">
        <v>491.38133720000002</v>
      </c>
      <c r="L27" s="124">
        <f t="shared" si="1"/>
        <v>0.11911848381776481</v>
      </c>
      <c r="M27" s="928">
        <f t="shared" si="0"/>
        <v>0.6165252675177294</v>
      </c>
    </row>
    <row r="28" spans="2:13" s="124" customFormat="1">
      <c r="B28" s="973">
        <v>9311</v>
      </c>
      <c r="C28" s="973">
        <v>7</v>
      </c>
      <c r="D28" s="973" t="s">
        <v>2019</v>
      </c>
      <c r="E28" s="973" t="s">
        <v>2013</v>
      </c>
      <c r="F28" s="973" t="s">
        <v>2051</v>
      </c>
      <c r="G28" s="973" t="s">
        <v>191</v>
      </c>
      <c r="H28" s="973" t="s">
        <v>192</v>
      </c>
      <c r="I28" s="974">
        <v>777.56135099999995</v>
      </c>
      <c r="J28" s="974">
        <v>495.23193945000003</v>
      </c>
      <c r="K28" s="974">
        <v>655.71406434999994</v>
      </c>
      <c r="L28" s="124">
        <f t="shared" si="1"/>
        <v>0.63690400611231002</v>
      </c>
      <c r="M28" s="928">
        <f t="shared" si="0"/>
        <v>0.84329559784151364</v>
      </c>
    </row>
    <row r="29" spans="2:13" s="124" customFormat="1">
      <c r="B29" s="973">
        <v>9311</v>
      </c>
      <c r="C29" s="973">
        <v>8</v>
      </c>
      <c r="D29" s="973" t="s">
        <v>2020</v>
      </c>
      <c r="E29" s="973" t="s">
        <v>2013</v>
      </c>
      <c r="F29" s="973" t="s">
        <v>2051</v>
      </c>
      <c r="G29" s="973" t="s">
        <v>200</v>
      </c>
      <c r="H29" s="973" t="s">
        <v>626</v>
      </c>
      <c r="I29" s="974">
        <v>748.94185766999999</v>
      </c>
      <c r="J29" s="974">
        <v>237.41406806000001</v>
      </c>
      <c r="K29" s="974">
        <v>77.694034755999994</v>
      </c>
      <c r="L29" s="124">
        <f t="shared" si="1"/>
        <v>0.31699933129469948</v>
      </c>
      <c r="M29" s="928">
        <f t="shared" si="0"/>
        <v>0.10373840633999344</v>
      </c>
    </row>
    <row r="30" spans="2:13" s="124" customFormat="1">
      <c r="B30" s="973">
        <v>9311</v>
      </c>
      <c r="C30" s="973">
        <v>9</v>
      </c>
      <c r="D30" s="973" t="s">
        <v>2021</v>
      </c>
      <c r="E30" s="973" t="s">
        <v>2013</v>
      </c>
      <c r="F30" s="973" t="s">
        <v>2051</v>
      </c>
      <c r="G30" s="973" t="s">
        <v>218</v>
      </c>
      <c r="H30" s="973" t="s">
        <v>219</v>
      </c>
      <c r="I30" s="974">
        <v>739.14557406999995</v>
      </c>
      <c r="J30" s="974">
        <v>299.53700643000002</v>
      </c>
      <c r="K30" s="974">
        <v>510.57960910000003</v>
      </c>
      <c r="L30" s="124">
        <f t="shared" si="1"/>
        <v>0.40524764936444402</v>
      </c>
      <c r="M30" s="928">
        <f t="shared" si="0"/>
        <v>0.69077002827543976</v>
      </c>
    </row>
    <row r="31" spans="2:13" s="124" customFormat="1">
      <c r="B31" s="973">
        <v>9311</v>
      </c>
      <c r="C31" s="973">
        <v>10</v>
      </c>
      <c r="D31" s="973" t="s">
        <v>2022</v>
      </c>
      <c r="E31" s="973" t="s">
        <v>2013</v>
      </c>
      <c r="F31" s="973" t="s">
        <v>2051</v>
      </c>
      <c r="G31" s="973" t="s">
        <v>189</v>
      </c>
      <c r="H31" s="973" t="s">
        <v>619</v>
      </c>
      <c r="I31" s="974">
        <v>652.85451289000002</v>
      </c>
      <c r="J31" s="974">
        <v>76.017097014000001</v>
      </c>
      <c r="K31" s="974">
        <v>147.94098926000001</v>
      </c>
      <c r="L31" s="124">
        <f t="shared" si="1"/>
        <v>0.11643803560075594</v>
      </c>
      <c r="M31" s="928">
        <f t="shared" si="0"/>
        <v>0.2266063668689485</v>
      </c>
    </row>
    <row r="32" spans="2:13" s="124" customFormat="1">
      <c r="B32" s="973">
        <v>7532</v>
      </c>
      <c r="C32" s="973">
        <v>1</v>
      </c>
      <c r="D32" s="973" t="s">
        <v>1601</v>
      </c>
      <c r="E32" s="973" t="s">
        <v>970</v>
      </c>
      <c r="F32" s="973" t="s">
        <v>1601</v>
      </c>
      <c r="G32" s="973" t="s">
        <v>201</v>
      </c>
      <c r="H32" s="973" t="s">
        <v>1383</v>
      </c>
      <c r="I32" s="974">
        <v>2976.0963388</v>
      </c>
      <c r="J32" s="974">
        <v>1667.2572782</v>
      </c>
      <c r="K32" s="974">
        <v>428.28571751999999</v>
      </c>
      <c r="L32" s="124">
        <f t="shared" si="1"/>
        <v>0.56021616520393269</v>
      </c>
      <c r="M32" s="928">
        <f t="shared" si="0"/>
        <v>0.1439085529377353</v>
      </c>
    </row>
    <row r="33" spans="2:13" s="124" customFormat="1">
      <c r="B33" s="973">
        <v>7532</v>
      </c>
      <c r="C33" s="973">
        <v>2</v>
      </c>
      <c r="D33" s="973" t="s">
        <v>1602</v>
      </c>
      <c r="E33" s="973" t="s">
        <v>970</v>
      </c>
      <c r="F33" s="973" t="s">
        <v>1602</v>
      </c>
      <c r="G33" s="973" t="s">
        <v>211</v>
      </c>
      <c r="H33" s="973" t="s">
        <v>212</v>
      </c>
      <c r="I33" s="974">
        <v>1397.6380833000001</v>
      </c>
      <c r="J33" s="974">
        <v>1270.3430006000001</v>
      </c>
      <c r="K33" s="974">
        <v>60.916341019999997</v>
      </c>
      <c r="L33" s="124">
        <f t="shared" si="1"/>
        <v>0.90892128354184498</v>
      </c>
      <c r="M33" s="928">
        <f t="shared" si="0"/>
        <v>4.3585204029478665E-2</v>
      </c>
    </row>
    <row r="34" spans="2:13" s="124" customFormat="1">
      <c r="B34" s="973">
        <v>7532</v>
      </c>
      <c r="C34" s="973">
        <v>3</v>
      </c>
      <c r="D34" s="973" t="s">
        <v>1603</v>
      </c>
      <c r="E34" s="973" t="s">
        <v>970</v>
      </c>
      <c r="F34" s="973" t="s">
        <v>1603</v>
      </c>
      <c r="G34" s="973" t="s">
        <v>188</v>
      </c>
      <c r="H34" s="973" t="s">
        <v>618</v>
      </c>
      <c r="I34" s="974">
        <v>1355.2285819000001</v>
      </c>
      <c r="J34" s="974">
        <v>443.06650939999997</v>
      </c>
      <c r="K34" s="974">
        <v>602.84200743999997</v>
      </c>
      <c r="L34" s="124">
        <f t="shared" si="1"/>
        <v>0.32693120209937621</v>
      </c>
      <c r="M34" s="928">
        <f t="shared" si="0"/>
        <v>0.44482681039299582</v>
      </c>
    </row>
    <row r="35" spans="2:13" s="124" customFormat="1">
      <c r="B35" s="973">
        <v>7532</v>
      </c>
      <c r="C35" s="973">
        <v>4</v>
      </c>
      <c r="D35" s="973" t="s">
        <v>1604</v>
      </c>
      <c r="E35" s="973" t="s">
        <v>970</v>
      </c>
      <c r="F35" s="973" t="s">
        <v>1604</v>
      </c>
      <c r="G35" s="973" t="s">
        <v>185</v>
      </c>
      <c r="H35" s="973" t="s">
        <v>617</v>
      </c>
      <c r="I35" s="974">
        <v>1112.1278262000001</v>
      </c>
      <c r="J35" s="974">
        <v>547.75770745</v>
      </c>
      <c r="K35" s="974">
        <v>140.53086202</v>
      </c>
      <c r="L35" s="124">
        <f t="shared" si="1"/>
        <v>0.49253124914751817</v>
      </c>
      <c r="M35" s="928">
        <f t="shared" si="0"/>
        <v>0.12636214894485301</v>
      </c>
    </row>
    <row r="36" spans="2:13" s="124" customFormat="1">
      <c r="B36" s="973">
        <v>7532</v>
      </c>
      <c r="C36" s="973">
        <v>5</v>
      </c>
      <c r="D36" s="973" t="s">
        <v>1605</v>
      </c>
      <c r="E36" s="973" t="s">
        <v>970</v>
      </c>
      <c r="F36" s="973" t="s">
        <v>1605</v>
      </c>
      <c r="G36" s="973" t="s">
        <v>199</v>
      </c>
      <c r="H36" s="973" t="s">
        <v>1652</v>
      </c>
      <c r="I36" s="974">
        <v>997.95615493000003</v>
      </c>
      <c r="J36" s="974">
        <v>454.54174232000003</v>
      </c>
      <c r="K36" s="974">
        <v>350.86507211000003</v>
      </c>
      <c r="L36" s="124">
        <f t="shared" si="1"/>
        <v>0.45547265786629987</v>
      </c>
      <c r="M36" s="928">
        <f t="shared" si="0"/>
        <v>0.35158365462920649</v>
      </c>
    </row>
    <row r="37" spans="2:13" s="124" customFormat="1">
      <c r="B37" s="973">
        <v>7532</v>
      </c>
      <c r="C37" s="973">
        <v>6</v>
      </c>
      <c r="D37" s="973" t="s">
        <v>1606</v>
      </c>
      <c r="E37" s="973" t="s">
        <v>970</v>
      </c>
      <c r="F37" s="973" t="s">
        <v>1606</v>
      </c>
      <c r="G37" s="973" t="s">
        <v>193</v>
      </c>
      <c r="H37" s="973" t="s">
        <v>620</v>
      </c>
      <c r="I37" s="974">
        <v>972.74556901000005</v>
      </c>
      <c r="J37" s="974">
        <v>809.19601415</v>
      </c>
      <c r="K37" s="974">
        <v>161.96923806000001</v>
      </c>
      <c r="L37" s="124">
        <f t="shared" si="1"/>
        <v>0.83186810603881689</v>
      </c>
      <c r="M37" s="928">
        <f t="shared" si="0"/>
        <v>0.16650729977093828</v>
      </c>
    </row>
    <row r="38" spans="2:13" s="124" customFormat="1">
      <c r="B38" s="973">
        <v>7532</v>
      </c>
      <c r="C38" s="973">
        <v>7</v>
      </c>
      <c r="D38" s="973" t="s">
        <v>1607</v>
      </c>
      <c r="E38" s="973" t="s">
        <v>970</v>
      </c>
      <c r="F38" s="973" t="s">
        <v>1607</v>
      </c>
      <c r="G38" s="973" t="s">
        <v>197</v>
      </c>
      <c r="H38" s="973" t="s">
        <v>624</v>
      </c>
      <c r="I38" s="974">
        <v>968.54396128999997</v>
      </c>
      <c r="J38" s="974">
        <v>222.91964123</v>
      </c>
      <c r="K38" s="974">
        <v>187.92199550999999</v>
      </c>
      <c r="L38" s="124">
        <f t="shared" si="1"/>
        <v>0.23015954890998874</v>
      </c>
      <c r="M38" s="928">
        <f t="shared" si="0"/>
        <v>0.19402526165121861</v>
      </c>
    </row>
    <row r="39" spans="2:13" s="124" customFormat="1">
      <c r="B39" s="973">
        <v>7532</v>
      </c>
      <c r="C39" s="973">
        <v>8</v>
      </c>
      <c r="D39" s="973" t="s">
        <v>1608</v>
      </c>
      <c r="E39" s="973" t="s">
        <v>970</v>
      </c>
      <c r="F39" s="973" t="s">
        <v>1608</v>
      </c>
      <c r="G39" s="973" t="s">
        <v>200</v>
      </c>
      <c r="H39" s="973" t="s">
        <v>626</v>
      </c>
      <c r="I39" s="974">
        <v>938.84165422000001</v>
      </c>
      <c r="J39" s="974">
        <v>521.40704507999999</v>
      </c>
      <c r="K39" s="974">
        <v>162.31341834</v>
      </c>
      <c r="L39" s="124">
        <f t="shared" si="1"/>
        <v>0.55537272205203836</v>
      </c>
      <c r="M39" s="928">
        <f t="shared" si="0"/>
        <v>0.17288689483515915</v>
      </c>
    </row>
    <row r="40" spans="2:13" s="124" customFormat="1">
      <c r="B40" s="973">
        <v>7532</v>
      </c>
      <c r="C40" s="973">
        <v>9</v>
      </c>
      <c r="D40" s="973" t="s">
        <v>1609</v>
      </c>
      <c r="E40" s="973" t="s">
        <v>970</v>
      </c>
      <c r="F40" s="973" t="s">
        <v>1609</v>
      </c>
      <c r="G40" s="973" t="s">
        <v>184</v>
      </c>
      <c r="H40" s="973" t="s">
        <v>616</v>
      </c>
      <c r="I40" s="974">
        <v>934.92436324000005</v>
      </c>
      <c r="J40" s="974">
        <v>363.21089977000003</v>
      </c>
      <c r="K40" s="974">
        <v>338.23091099999999</v>
      </c>
      <c r="L40" s="124">
        <f t="shared" si="1"/>
        <v>0.38849228242516326</v>
      </c>
      <c r="M40" s="928">
        <f t="shared" si="0"/>
        <v>0.36177355548619317</v>
      </c>
    </row>
    <row r="41" spans="2:13" s="124" customFormat="1">
      <c r="B41" s="973">
        <v>7532</v>
      </c>
      <c r="C41" s="973">
        <v>10</v>
      </c>
      <c r="D41" s="973" t="s">
        <v>1610</v>
      </c>
      <c r="E41" s="973" t="s">
        <v>970</v>
      </c>
      <c r="F41" s="973" t="s">
        <v>1610</v>
      </c>
      <c r="G41" s="973" t="s">
        <v>226</v>
      </c>
      <c r="H41" s="973" t="s">
        <v>635</v>
      </c>
      <c r="I41" s="974">
        <v>929.96587924000005</v>
      </c>
      <c r="J41" s="974">
        <v>371.11370015</v>
      </c>
      <c r="K41" s="974">
        <v>863.23557426000002</v>
      </c>
      <c r="L41" s="124">
        <f t="shared" si="1"/>
        <v>0.39906163057647537</v>
      </c>
      <c r="M41" s="928">
        <f t="shared" si="0"/>
        <v>0.92824435125024762</v>
      </c>
    </row>
    <row r="42" spans="2:13" s="124" customFormat="1">
      <c r="B42" s="973">
        <v>8412</v>
      </c>
      <c r="C42" s="973">
        <v>1</v>
      </c>
      <c r="D42" s="973" t="s">
        <v>1621</v>
      </c>
      <c r="E42" s="973" t="s">
        <v>164</v>
      </c>
      <c r="F42" s="973" t="s">
        <v>1621</v>
      </c>
      <c r="G42" s="973" t="s">
        <v>201</v>
      </c>
      <c r="H42" s="973" t="s">
        <v>1383</v>
      </c>
      <c r="I42" s="974">
        <v>2325.2734340000002</v>
      </c>
      <c r="J42" s="974">
        <v>929.88466779999999</v>
      </c>
      <c r="K42" s="974">
        <v>636.46025398999996</v>
      </c>
      <c r="L42" s="124">
        <f t="shared" si="1"/>
        <v>0.39990336370909568</v>
      </c>
      <c r="M42" s="928">
        <f t="shared" si="0"/>
        <v>0.27371415536930782</v>
      </c>
    </row>
    <row r="43" spans="2:13" s="124" customFormat="1">
      <c r="B43" s="973">
        <v>8412</v>
      </c>
      <c r="C43" s="973">
        <v>2</v>
      </c>
      <c r="D43" s="973" t="s">
        <v>1622</v>
      </c>
      <c r="E43" s="973" t="s">
        <v>164</v>
      </c>
      <c r="F43" s="973" t="s">
        <v>1622</v>
      </c>
      <c r="G43" s="973" t="s">
        <v>188</v>
      </c>
      <c r="H43" s="973" t="s">
        <v>618</v>
      </c>
      <c r="I43" s="974">
        <v>1224.2197928000001</v>
      </c>
      <c r="J43" s="974">
        <v>891.71626379999998</v>
      </c>
      <c r="K43" s="974">
        <v>712.23501512999997</v>
      </c>
      <c r="L43" s="124">
        <f t="shared" si="1"/>
        <v>0.72839556184636778</v>
      </c>
      <c r="M43" s="928">
        <f t="shared" si="0"/>
        <v>0.58178688117841704</v>
      </c>
    </row>
    <row r="44" spans="2:13" s="124" customFormat="1">
      <c r="B44" s="973">
        <v>8412</v>
      </c>
      <c r="C44" s="973">
        <v>3</v>
      </c>
      <c r="D44" s="973" t="s">
        <v>1623</v>
      </c>
      <c r="E44" s="973" t="s">
        <v>164</v>
      </c>
      <c r="F44" s="973" t="s">
        <v>1623</v>
      </c>
      <c r="G44" s="973" t="s">
        <v>193</v>
      </c>
      <c r="H44" s="973" t="s">
        <v>620</v>
      </c>
      <c r="I44" s="974">
        <v>929.38915923000002</v>
      </c>
      <c r="J44" s="974">
        <v>732.55893784</v>
      </c>
      <c r="K44" s="974">
        <v>126.13111316</v>
      </c>
      <c r="L44" s="124">
        <f t="shared" si="1"/>
        <v>0.78821549677524316</v>
      </c>
      <c r="M44" s="928">
        <f t="shared" si="0"/>
        <v>0.13571399225755953</v>
      </c>
    </row>
    <row r="45" spans="2:13" s="124" customFormat="1">
      <c r="B45" s="973">
        <v>8412</v>
      </c>
      <c r="C45" s="973">
        <v>4</v>
      </c>
      <c r="D45" s="973" t="s">
        <v>1624</v>
      </c>
      <c r="E45" s="973" t="s">
        <v>164</v>
      </c>
      <c r="F45" s="973" t="s">
        <v>1624</v>
      </c>
      <c r="G45" s="973" t="s">
        <v>185</v>
      </c>
      <c r="H45" s="973" t="s">
        <v>617</v>
      </c>
      <c r="I45" s="974">
        <v>842.78478160999998</v>
      </c>
      <c r="J45" s="974">
        <v>434.85495893000001</v>
      </c>
      <c r="K45" s="974">
        <v>476.20044360000003</v>
      </c>
      <c r="L45" s="124">
        <f t="shared" si="1"/>
        <v>0.51597390985072367</v>
      </c>
      <c r="M45" s="928">
        <f t="shared" si="0"/>
        <v>0.56503208647206271</v>
      </c>
    </row>
    <row r="46" spans="2:13" s="124" customFormat="1">
      <c r="B46" s="973">
        <v>8412</v>
      </c>
      <c r="C46" s="973">
        <v>5</v>
      </c>
      <c r="D46" s="973" t="s">
        <v>1625</v>
      </c>
      <c r="E46" s="973" t="s">
        <v>164</v>
      </c>
      <c r="F46" s="973" t="s">
        <v>1625</v>
      </c>
      <c r="G46" s="973" t="s">
        <v>184</v>
      </c>
      <c r="H46" s="973" t="s">
        <v>616</v>
      </c>
      <c r="I46" s="974">
        <v>768.40342346</v>
      </c>
      <c r="J46" s="974">
        <v>358.47243381999999</v>
      </c>
      <c r="K46" s="974">
        <v>648.86377871000002</v>
      </c>
      <c r="L46" s="124">
        <f t="shared" si="1"/>
        <v>0.46651592493674077</v>
      </c>
      <c r="M46" s="928">
        <f t="shared" si="0"/>
        <v>0.84443113981490125</v>
      </c>
    </row>
    <row r="47" spans="2:13" s="124" customFormat="1">
      <c r="B47" s="973">
        <v>8412</v>
      </c>
      <c r="C47" s="973">
        <v>6</v>
      </c>
      <c r="D47" s="973" t="s">
        <v>1626</v>
      </c>
      <c r="E47" s="973" t="s">
        <v>164</v>
      </c>
      <c r="F47" s="973" t="s">
        <v>1626</v>
      </c>
      <c r="G47" s="973" t="s">
        <v>227</v>
      </c>
      <c r="H47" s="973" t="s">
        <v>634</v>
      </c>
      <c r="I47" s="974">
        <v>687.10825377000003</v>
      </c>
      <c r="J47" s="974">
        <v>519.15276899000003</v>
      </c>
      <c r="K47" s="974"/>
      <c r="L47" s="124">
        <f t="shared" si="1"/>
        <v>0.75556182907355851</v>
      </c>
      <c r="M47" s="928">
        <f t="shared" si="0"/>
        <v>0</v>
      </c>
    </row>
    <row r="48" spans="2:13" s="124" customFormat="1">
      <c r="B48" s="973">
        <v>8412</v>
      </c>
      <c r="C48" s="973">
        <v>7</v>
      </c>
      <c r="D48" s="973" t="s">
        <v>1627</v>
      </c>
      <c r="E48" s="973" t="s">
        <v>164</v>
      </c>
      <c r="F48" s="973" t="s">
        <v>1627</v>
      </c>
      <c r="G48" s="973" t="s">
        <v>200</v>
      </c>
      <c r="H48" s="973" t="s">
        <v>626</v>
      </c>
      <c r="I48" s="974">
        <v>534.78683541999999</v>
      </c>
      <c r="J48" s="974">
        <v>305.95560866</v>
      </c>
      <c r="K48" s="974">
        <v>69.513429866999999</v>
      </c>
      <c r="L48" s="124">
        <f t="shared" si="1"/>
        <v>0.57210759202723238</v>
      </c>
      <c r="M48" s="928">
        <f t="shared" si="0"/>
        <v>0.12998343501183413</v>
      </c>
    </row>
    <row r="49" spans="2:13" s="124" customFormat="1">
      <c r="B49" s="973">
        <v>8412</v>
      </c>
      <c r="C49" s="973">
        <v>8</v>
      </c>
      <c r="D49" s="973" t="s">
        <v>1628</v>
      </c>
      <c r="E49" s="973" t="s">
        <v>164</v>
      </c>
      <c r="F49" s="973" t="s">
        <v>1628</v>
      </c>
      <c r="G49" s="973" t="s">
        <v>190</v>
      </c>
      <c r="H49" s="973" t="s">
        <v>627</v>
      </c>
      <c r="I49" s="974">
        <v>533.72276962000001</v>
      </c>
      <c r="J49" s="974">
        <v>147.99688413999999</v>
      </c>
      <c r="K49" s="974">
        <v>400.54720374999999</v>
      </c>
      <c r="L49" s="124">
        <f t="shared" si="1"/>
        <v>0.27729168130745263</v>
      </c>
      <c r="M49" s="928">
        <f t="shared" si="0"/>
        <v>0.75047801321120633</v>
      </c>
    </row>
    <row r="50" spans="2:13" s="124" customFormat="1">
      <c r="B50" s="973">
        <v>8412</v>
      </c>
      <c r="C50" s="973">
        <v>9</v>
      </c>
      <c r="D50" s="973" t="s">
        <v>1629</v>
      </c>
      <c r="E50" s="973" t="s">
        <v>164</v>
      </c>
      <c r="F50" s="973" t="s">
        <v>1629</v>
      </c>
      <c r="G50" s="973" t="s">
        <v>206</v>
      </c>
      <c r="H50" s="973" t="s">
        <v>629</v>
      </c>
      <c r="I50" s="974">
        <v>449.59309366999997</v>
      </c>
      <c r="J50" s="974">
        <v>99.361153639999998</v>
      </c>
      <c r="K50" s="974">
        <v>106.36597184999999</v>
      </c>
      <c r="L50" s="124">
        <f t="shared" si="1"/>
        <v>0.22100240203629729</v>
      </c>
      <c r="M50" s="928">
        <f t="shared" si="0"/>
        <v>0.23658275304396092</v>
      </c>
    </row>
    <row r="51" spans="2:13" s="124" customFormat="1">
      <c r="B51" s="973">
        <v>8412</v>
      </c>
      <c r="C51" s="973">
        <v>10</v>
      </c>
      <c r="D51" s="973" t="s">
        <v>1630</v>
      </c>
      <c r="E51" s="973" t="s">
        <v>164</v>
      </c>
      <c r="F51" s="973" t="s">
        <v>1630</v>
      </c>
      <c r="G51" s="973" t="s">
        <v>189</v>
      </c>
      <c r="H51" s="973" t="s">
        <v>619</v>
      </c>
      <c r="I51" s="974">
        <v>448.24436723000002</v>
      </c>
      <c r="J51" s="974">
        <v>30.808459332999998</v>
      </c>
      <c r="K51" s="974">
        <v>189.20480341000001</v>
      </c>
      <c r="L51" s="124">
        <f t="shared" si="1"/>
        <v>6.8731392038199945E-2</v>
      </c>
      <c r="M51" s="928">
        <f t="shared" si="0"/>
        <v>0.42210190967757677</v>
      </c>
    </row>
    <row r="52" spans="2:13" s="124" customFormat="1">
      <c r="B52" s="973">
        <v>3227</v>
      </c>
      <c r="C52" s="973">
        <v>1</v>
      </c>
      <c r="D52" s="973" t="s">
        <v>1561</v>
      </c>
      <c r="E52" s="973" t="s">
        <v>152</v>
      </c>
      <c r="F52" s="973" t="s">
        <v>1561</v>
      </c>
      <c r="G52" s="973" t="s">
        <v>201</v>
      </c>
      <c r="H52" s="973" t="s">
        <v>1383</v>
      </c>
      <c r="I52" s="974">
        <v>1575.6593458</v>
      </c>
      <c r="J52" s="974">
        <v>153.76372265000001</v>
      </c>
      <c r="K52" s="974">
        <v>61.992150215999999</v>
      </c>
      <c r="L52" s="124">
        <f t="shared" si="1"/>
        <v>9.7586907385701749E-2</v>
      </c>
      <c r="M52" s="928">
        <f t="shared" si="0"/>
        <v>3.9343624864881625E-2</v>
      </c>
    </row>
    <row r="53" spans="2:13" s="124" customFormat="1">
      <c r="B53" s="973">
        <v>3227</v>
      </c>
      <c r="C53" s="973">
        <v>2</v>
      </c>
      <c r="D53" s="973" t="s">
        <v>1562</v>
      </c>
      <c r="E53" s="973" t="s">
        <v>152</v>
      </c>
      <c r="F53" s="973" t="s">
        <v>1562</v>
      </c>
      <c r="G53" s="973" t="s">
        <v>197</v>
      </c>
      <c r="H53" s="973" t="s">
        <v>624</v>
      </c>
      <c r="I53" s="974">
        <v>536.63646893999999</v>
      </c>
      <c r="J53" s="974">
        <v>7.1562970655999996</v>
      </c>
      <c r="K53" s="974">
        <v>38.073928514999999</v>
      </c>
      <c r="L53" s="124">
        <f t="shared" si="1"/>
        <v>1.3335465403116552E-2</v>
      </c>
      <c r="M53" s="928">
        <f t="shared" si="0"/>
        <v>7.0949200657581382E-2</v>
      </c>
    </row>
    <row r="54" spans="2:13" s="124" customFormat="1">
      <c r="B54" s="973">
        <v>3227</v>
      </c>
      <c r="C54" s="973">
        <v>3</v>
      </c>
      <c r="D54" s="973" t="s">
        <v>1563</v>
      </c>
      <c r="E54" s="973" t="s">
        <v>152</v>
      </c>
      <c r="F54" s="973" t="s">
        <v>1563</v>
      </c>
      <c r="G54" s="973" t="s">
        <v>188</v>
      </c>
      <c r="H54" s="973" t="s">
        <v>618</v>
      </c>
      <c r="I54" s="974">
        <v>493.29673302999998</v>
      </c>
      <c r="J54" s="974">
        <v>31.093563731</v>
      </c>
      <c r="K54" s="974">
        <v>385.30740809000002</v>
      </c>
      <c r="L54" s="124">
        <f t="shared" si="1"/>
        <v>6.3032170393694936E-2</v>
      </c>
      <c r="M54" s="928">
        <f t="shared" si="0"/>
        <v>0.78108647856495628</v>
      </c>
    </row>
    <row r="55" spans="2:13" s="124" customFormat="1">
      <c r="B55" s="973">
        <v>3227</v>
      </c>
      <c r="C55" s="973">
        <v>4</v>
      </c>
      <c r="D55" s="973" t="s">
        <v>1564</v>
      </c>
      <c r="E55" s="973" t="s">
        <v>152</v>
      </c>
      <c r="F55" s="973" t="s">
        <v>1564</v>
      </c>
      <c r="G55" s="973" t="s">
        <v>193</v>
      </c>
      <c r="H55" s="973" t="s">
        <v>620</v>
      </c>
      <c r="I55" s="974">
        <v>491.89988453000001</v>
      </c>
      <c r="J55" s="974">
        <v>361.28576141000002</v>
      </c>
      <c r="K55" s="974">
        <v>24.157067643000001</v>
      </c>
      <c r="L55" s="124">
        <f t="shared" si="1"/>
        <v>0.7344701081912246</v>
      </c>
      <c r="M55" s="928">
        <f t="shared" si="0"/>
        <v>4.9109724158771802E-2</v>
      </c>
    </row>
    <row r="56" spans="2:13" s="124" customFormat="1">
      <c r="B56" s="973">
        <v>3227</v>
      </c>
      <c r="C56" s="973">
        <v>5</v>
      </c>
      <c r="D56" s="973" t="s">
        <v>1565</v>
      </c>
      <c r="E56" s="973" t="s">
        <v>152</v>
      </c>
      <c r="F56" s="973" t="s">
        <v>1565</v>
      </c>
      <c r="G56" s="973" t="s">
        <v>215</v>
      </c>
      <c r="H56" s="973" t="s">
        <v>632</v>
      </c>
      <c r="I56" s="974">
        <v>413.14732404</v>
      </c>
      <c r="J56" s="974">
        <v>282.32991693999998</v>
      </c>
      <c r="K56" s="974">
        <v>10</v>
      </c>
      <c r="L56" s="124">
        <f t="shared" si="1"/>
        <v>0.68336377972683038</v>
      </c>
      <c r="M56" s="928">
        <f t="shared" si="0"/>
        <v>2.4204440929724676E-2</v>
      </c>
    </row>
    <row r="57" spans="2:13" s="124" customFormat="1">
      <c r="B57" s="973">
        <v>3227</v>
      </c>
      <c r="C57" s="973">
        <v>6</v>
      </c>
      <c r="D57" s="973" t="s">
        <v>1566</v>
      </c>
      <c r="E57" s="973" t="s">
        <v>152</v>
      </c>
      <c r="F57" s="973" t="s">
        <v>1566</v>
      </c>
      <c r="G57" s="973" t="s">
        <v>185</v>
      </c>
      <c r="H57" s="973" t="s">
        <v>617</v>
      </c>
      <c r="I57" s="974">
        <v>354.73339166</v>
      </c>
      <c r="J57" s="974">
        <v>269.21778713999998</v>
      </c>
      <c r="K57" s="974">
        <v>44.010524189999998</v>
      </c>
      <c r="L57" s="124">
        <f t="shared" si="1"/>
        <v>0.75892992729039777</v>
      </c>
      <c r="M57" s="928">
        <f t="shared" si="0"/>
        <v>0.12406648267322576</v>
      </c>
    </row>
    <row r="58" spans="2:13" s="124" customFormat="1">
      <c r="B58" s="973">
        <v>3227</v>
      </c>
      <c r="C58" s="973">
        <v>7</v>
      </c>
      <c r="D58" s="973" t="s">
        <v>1567</v>
      </c>
      <c r="E58" s="973" t="s">
        <v>152</v>
      </c>
      <c r="F58" s="973" t="s">
        <v>1567</v>
      </c>
      <c r="G58" s="973" t="s">
        <v>200</v>
      </c>
      <c r="H58" s="973" t="s">
        <v>626</v>
      </c>
      <c r="I58" s="974">
        <v>347.55004934999999</v>
      </c>
      <c r="J58" s="974">
        <v>176.95670157000001</v>
      </c>
      <c r="K58" s="974">
        <v>136.63935411</v>
      </c>
      <c r="L58" s="124">
        <f t="shared" si="1"/>
        <v>0.50915458622707865</v>
      </c>
      <c r="M58" s="928">
        <f t="shared" si="0"/>
        <v>0.39315015021735028</v>
      </c>
    </row>
    <row r="59" spans="2:13" s="124" customFormat="1">
      <c r="B59" s="973">
        <v>3227</v>
      </c>
      <c r="C59" s="973">
        <v>8</v>
      </c>
      <c r="D59" s="973" t="s">
        <v>1568</v>
      </c>
      <c r="E59" s="973" t="s">
        <v>152</v>
      </c>
      <c r="F59" s="973" t="s">
        <v>1568</v>
      </c>
      <c r="G59" s="973" t="s">
        <v>199</v>
      </c>
      <c r="H59" s="973" t="s">
        <v>1652</v>
      </c>
      <c r="I59" s="974">
        <v>312.34248916000001</v>
      </c>
      <c r="J59" s="974">
        <v>96.905068557999996</v>
      </c>
      <c r="K59" s="974">
        <v>107.95444122000001</v>
      </c>
      <c r="L59" s="124">
        <f t="shared" si="1"/>
        <v>0.31025259745676026</v>
      </c>
      <c r="M59" s="928">
        <f t="shared" si="0"/>
        <v>0.34562842061714971</v>
      </c>
    </row>
    <row r="60" spans="2:13" s="124" customFormat="1">
      <c r="B60" s="973">
        <v>3227</v>
      </c>
      <c r="C60" s="973">
        <v>9</v>
      </c>
      <c r="D60" s="973" t="s">
        <v>1569</v>
      </c>
      <c r="E60" s="973" t="s">
        <v>152</v>
      </c>
      <c r="F60" s="973" t="s">
        <v>1569</v>
      </c>
      <c r="G60" s="973" t="s">
        <v>210</v>
      </c>
      <c r="H60" s="973" t="s">
        <v>631</v>
      </c>
      <c r="I60" s="974">
        <v>220.03203372999999</v>
      </c>
      <c r="J60" s="974">
        <v>74.134653635000006</v>
      </c>
      <c r="K60" s="974">
        <v>39.521396598999999</v>
      </c>
      <c r="L60" s="124">
        <f t="shared" si="1"/>
        <v>0.33692663917277699</v>
      </c>
      <c r="M60" s="928">
        <f t="shared" si="0"/>
        <v>0.17961655823031872</v>
      </c>
    </row>
    <row r="61" spans="2:13" s="124" customFormat="1">
      <c r="B61" s="973">
        <v>3227</v>
      </c>
      <c r="C61" s="973">
        <v>10</v>
      </c>
      <c r="D61" s="973" t="s">
        <v>1570</v>
      </c>
      <c r="E61" s="973" t="s">
        <v>152</v>
      </c>
      <c r="F61" s="973" t="s">
        <v>1570</v>
      </c>
      <c r="G61" s="973" t="s">
        <v>222</v>
      </c>
      <c r="H61" s="973">
        <v>0</v>
      </c>
      <c r="I61" s="974">
        <v>216.51818408</v>
      </c>
      <c r="J61" s="974">
        <v>80.391332374000001</v>
      </c>
      <c r="K61" s="974">
        <v>119.02811010000001</v>
      </c>
      <c r="L61" s="124">
        <f t="shared" si="1"/>
        <v>0.37129136619904723</v>
      </c>
      <c r="M61" s="928">
        <f t="shared" si="0"/>
        <v>0.5497372454224031</v>
      </c>
    </row>
    <row r="62" spans="2:13" s="124" customFormat="1">
      <c r="B62" s="973">
        <v>3216</v>
      </c>
      <c r="C62" s="973">
        <v>1</v>
      </c>
      <c r="D62" s="973" t="s">
        <v>1551</v>
      </c>
      <c r="E62" s="973" t="s">
        <v>150</v>
      </c>
      <c r="F62" s="973" t="s">
        <v>1551</v>
      </c>
      <c r="G62" s="973" t="s">
        <v>188</v>
      </c>
      <c r="H62" s="973" t="s">
        <v>618</v>
      </c>
      <c r="I62" s="974">
        <v>2236.4290296999998</v>
      </c>
      <c r="J62" s="974">
        <v>683.83436304999998</v>
      </c>
      <c r="K62" s="974">
        <v>1998.2131804000001</v>
      </c>
      <c r="L62" s="124">
        <f t="shared" si="1"/>
        <v>0.30577065221771477</v>
      </c>
      <c r="M62" s="928">
        <f t="shared" si="0"/>
        <v>0.89348383242371232</v>
      </c>
    </row>
    <row r="63" spans="2:13" s="124" customFormat="1">
      <c r="B63" s="973">
        <v>3216</v>
      </c>
      <c r="C63" s="973">
        <v>2</v>
      </c>
      <c r="D63" s="973" t="s">
        <v>1552</v>
      </c>
      <c r="E63" s="973" t="s">
        <v>150</v>
      </c>
      <c r="F63" s="973" t="s">
        <v>1552</v>
      </c>
      <c r="G63" s="973" t="s">
        <v>227</v>
      </c>
      <c r="H63" s="973" t="s">
        <v>634</v>
      </c>
      <c r="I63" s="974">
        <v>1748.9904079999999</v>
      </c>
      <c r="J63" s="974">
        <v>1322.5948598</v>
      </c>
      <c r="K63" s="974">
        <v>18.327239587000001</v>
      </c>
      <c r="L63" s="124">
        <f t="shared" si="1"/>
        <v>0.75620475318238567</v>
      </c>
      <c r="M63" s="928">
        <f t="shared" si="0"/>
        <v>1.0478753630191438E-2</v>
      </c>
    </row>
    <row r="64" spans="2:13" s="124" customFormat="1">
      <c r="B64" s="973">
        <v>3216</v>
      </c>
      <c r="C64" s="973">
        <v>3</v>
      </c>
      <c r="D64" s="973" t="s">
        <v>1553</v>
      </c>
      <c r="E64" s="973" t="s">
        <v>150</v>
      </c>
      <c r="F64" s="973" t="s">
        <v>1553</v>
      </c>
      <c r="G64" s="973" t="s">
        <v>201</v>
      </c>
      <c r="H64" s="973" t="s">
        <v>1383</v>
      </c>
      <c r="I64" s="974">
        <v>1670.7349111999999</v>
      </c>
      <c r="J64" s="974">
        <v>298.58074040999998</v>
      </c>
      <c r="K64" s="974">
        <v>705.99219175999997</v>
      </c>
      <c r="L64" s="124">
        <f t="shared" si="1"/>
        <v>0.17871221724549069</v>
      </c>
      <c r="M64" s="928">
        <f t="shared" si="0"/>
        <v>0.42256385918991984</v>
      </c>
    </row>
    <row r="65" spans="2:13" s="124" customFormat="1">
      <c r="B65" s="973">
        <v>3216</v>
      </c>
      <c r="C65" s="973">
        <v>4</v>
      </c>
      <c r="D65" s="973" t="s">
        <v>1554</v>
      </c>
      <c r="E65" s="973" t="s">
        <v>150</v>
      </c>
      <c r="F65" s="973" t="s">
        <v>1554</v>
      </c>
      <c r="G65" s="973" t="s">
        <v>185</v>
      </c>
      <c r="H65" s="973" t="s">
        <v>617</v>
      </c>
      <c r="I65" s="974">
        <v>1143.3440270000001</v>
      </c>
      <c r="J65" s="974">
        <v>447.64656869999999</v>
      </c>
      <c r="K65" s="974">
        <v>118.98949275</v>
      </c>
      <c r="L65" s="124">
        <f t="shared" si="1"/>
        <v>0.39152394916040434</v>
      </c>
      <c r="M65" s="928">
        <f t="shared" si="0"/>
        <v>0.10407146925166032</v>
      </c>
    </row>
    <row r="66" spans="2:13" s="124" customFormat="1">
      <c r="B66" s="973">
        <v>3216</v>
      </c>
      <c r="C66" s="973">
        <v>5</v>
      </c>
      <c r="D66" s="973" t="s">
        <v>1555</v>
      </c>
      <c r="E66" s="973" t="s">
        <v>150</v>
      </c>
      <c r="F66" s="973" t="s">
        <v>1555</v>
      </c>
      <c r="G66" s="973" t="s">
        <v>193</v>
      </c>
      <c r="H66" s="973" t="s">
        <v>620</v>
      </c>
      <c r="I66" s="974">
        <v>1130.4229937</v>
      </c>
      <c r="J66" s="974">
        <v>902.92448290000004</v>
      </c>
      <c r="K66" s="974">
        <v>107.58476933</v>
      </c>
      <c r="L66" s="124">
        <f t="shared" ref="L66:L129" si="2">J66/$I66</f>
        <v>0.79874921859526926</v>
      </c>
      <c r="M66" s="928">
        <f t="shared" ref="M66:M129" si="3">K66/$I66</f>
        <v>9.5172134616497053E-2</v>
      </c>
    </row>
    <row r="67" spans="2:13" s="124" customFormat="1">
      <c r="B67" s="973">
        <v>3216</v>
      </c>
      <c r="C67" s="973">
        <v>6</v>
      </c>
      <c r="D67" s="973" t="s">
        <v>1556</v>
      </c>
      <c r="E67" s="973" t="s">
        <v>150</v>
      </c>
      <c r="F67" s="973" t="s">
        <v>1556</v>
      </c>
      <c r="G67" s="973" t="s">
        <v>200</v>
      </c>
      <c r="H67" s="973" t="s">
        <v>626</v>
      </c>
      <c r="I67" s="974">
        <v>1099.9560696999999</v>
      </c>
      <c r="J67" s="974">
        <v>384.30045902000001</v>
      </c>
      <c r="K67" s="974">
        <v>430.00242723000002</v>
      </c>
      <c r="L67" s="124">
        <f t="shared" si="2"/>
        <v>0.34937800663695001</v>
      </c>
      <c r="M67" s="928">
        <f t="shared" si="3"/>
        <v>0.39092690978765915</v>
      </c>
    </row>
    <row r="68" spans="2:13" s="124" customFormat="1">
      <c r="B68" s="973">
        <v>3216</v>
      </c>
      <c r="C68" s="973">
        <v>7</v>
      </c>
      <c r="D68" s="973" t="s">
        <v>1557</v>
      </c>
      <c r="E68" s="973" t="s">
        <v>150</v>
      </c>
      <c r="F68" s="973" t="s">
        <v>1557</v>
      </c>
      <c r="G68" s="973" t="s">
        <v>206</v>
      </c>
      <c r="H68" s="973" t="s">
        <v>629</v>
      </c>
      <c r="I68" s="974">
        <v>1022.0410724</v>
      </c>
      <c r="J68" s="974">
        <v>122.81198508999999</v>
      </c>
      <c r="K68" s="974">
        <v>215.29711004000001</v>
      </c>
      <c r="L68" s="124">
        <f t="shared" si="2"/>
        <v>0.12016345370700975</v>
      </c>
      <c r="M68" s="928">
        <f t="shared" si="3"/>
        <v>0.21065406846559528</v>
      </c>
    </row>
    <row r="69" spans="2:13" s="124" customFormat="1">
      <c r="B69" s="973">
        <v>3216</v>
      </c>
      <c r="C69" s="973">
        <v>8</v>
      </c>
      <c r="D69" s="973" t="s">
        <v>1558</v>
      </c>
      <c r="E69" s="973" t="s">
        <v>150</v>
      </c>
      <c r="F69" s="973" t="s">
        <v>1558</v>
      </c>
      <c r="G69" s="973" t="s">
        <v>199</v>
      </c>
      <c r="H69" s="973" t="s">
        <v>1652</v>
      </c>
      <c r="I69" s="974">
        <v>1003.8434486</v>
      </c>
      <c r="J69" s="974">
        <v>80.708043063999995</v>
      </c>
      <c r="K69" s="974">
        <v>239.5112991</v>
      </c>
      <c r="L69" s="124">
        <f t="shared" si="2"/>
        <v>8.0399033511209986E-2</v>
      </c>
      <c r="M69" s="928">
        <f t="shared" si="3"/>
        <v>0.23859427427058671</v>
      </c>
    </row>
    <row r="70" spans="2:13" s="124" customFormat="1">
      <c r="B70" s="973">
        <v>3216</v>
      </c>
      <c r="C70" s="973">
        <v>9</v>
      </c>
      <c r="D70" s="973" t="s">
        <v>1559</v>
      </c>
      <c r="E70" s="973" t="s">
        <v>150</v>
      </c>
      <c r="F70" s="973" t="s">
        <v>1559</v>
      </c>
      <c r="G70" s="973" t="s">
        <v>184</v>
      </c>
      <c r="H70" s="973" t="s">
        <v>616</v>
      </c>
      <c r="I70" s="974">
        <v>927.34830360000001</v>
      </c>
      <c r="J70" s="974">
        <v>584.20678930999998</v>
      </c>
      <c r="K70" s="974">
        <v>182.87276681</v>
      </c>
      <c r="L70" s="124">
        <f t="shared" si="2"/>
        <v>0.62997558419213995</v>
      </c>
      <c r="M70" s="928">
        <f t="shared" si="3"/>
        <v>0.19719965637515185</v>
      </c>
    </row>
    <row r="71" spans="2:13" s="124" customFormat="1">
      <c r="B71" s="973">
        <v>3216</v>
      </c>
      <c r="C71" s="973">
        <v>10</v>
      </c>
      <c r="D71" s="973" t="s">
        <v>1560</v>
      </c>
      <c r="E71" s="973" t="s">
        <v>150</v>
      </c>
      <c r="F71" s="973" t="s">
        <v>1560</v>
      </c>
      <c r="G71" s="973" t="s">
        <v>197</v>
      </c>
      <c r="H71" s="973" t="s">
        <v>624</v>
      </c>
      <c r="I71" s="974">
        <v>767.02262413000005</v>
      </c>
      <c r="J71" s="974">
        <v>98.338516198999997</v>
      </c>
      <c r="K71" s="974">
        <v>166.07008185000001</v>
      </c>
      <c r="L71" s="124">
        <f t="shared" si="2"/>
        <v>0.12820810378382391</v>
      </c>
      <c r="M71" s="928">
        <f t="shared" si="3"/>
        <v>0.21651262508503707</v>
      </c>
    </row>
    <row r="72" spans="2:13" s="124" customFormat="1">
      <c r="B72" s="973">
        <v>8428</v>
      </c>
      <c r="C72" s="973">
        <v>1</v>
      </c>
      <c r="D72" s="973" t="s">
        <v>1991</v>
      </c>
      <c r="E72" s="973" t="s">
        <v>1992</v>
      </c>
      <c r="F72" s="973" t="s">
        <v>1991</v>
      </c>
      <c r="G72" s="973" t="s">
        <v>189</v>
      </c>
      <c r="H72" s="973" t="s">
        <v>619</v>
      </c>
      <c r="I72" s="974">
        <v>1800.7224779999999</v>
      </c>
      <c r="J72" s="974">
        <v>51.978727671999998</v>
      </c>
      <c r="K72" s="974">
        <v>1156.8798741000001</v>
      </c>
      <c r="L72" s="124">
        <f t="shared" si="2"/>
        <v>2.8865484996739181E-2</v>
      </c>
      <c r="M72" s="928">
        <f t="shared" si="3"/>
        <v>0.64245317545261416</v>
      </c>
    </row>
    <row r="73" spans="2:13" s="124" customFormat="1">
      <c r="B73" s="973">
        <v>8428</v>
      </c>
      <c r="C73" s="973">
        <v>2</v>
      </c>
      <c r="D73" s="973" t="s">
        <v>1993</v>
      </c>
      <c r="E73" s="973" t="s">
        <v>1992</v>
      </c>
      <c r="F73" s="973" t="s">
        <v>1993</v>
      </c>
      <c r="G73" s="973" t="s">
        <v>227</v>
      </c>
      <c r="H73" s="973" t="s">
        <v>634</v>
      </c>
      <c r="I73" s="974">
        <v>1480.7077543</v>
      </c>
      <c r="J73" s="974">
        <v>1180.4272185</v>
      </c>
      <c r="K73" s="974"/>
      <c r="L73" s="124">
        <f t="shared" si="2"/>
        <v>0.79720472528898401</v>
      </c>
      <c r="M73" s="928">
        <f t="shared" si="3"/>
        <v>0</v>
      </c>
    </row>
    <row r="74" spans="2:13" s="124" customFormat="1">
      <c r="B74" s="973">
        <v>8428</v>
      </c>
      <c r="C74" s="973">
        <v>3</v>
      </c>
      <c r="D74" s="973" t="s">
        <v>1994</v>
      </c>
      <c r="E74" s="973" t="s">
        <v>1992</v>
      </c>
      <c r="F74" s="973" t="s">
        <v>1994</v>
      </c>
      <c r="G74" s="973" t="s">
        <v>185</v>
      </c>
      <c r="H74" s="973" t="s">
        <v>617</v>
      </c>
      <c r="I74" s="974">
        <v>1319.7433212999999</v>
      </c>
      <c r="J74" s="974">
        <v>475.59814739000001</v>
      </c>
      <c r="K74" s="974">
        <v>120.62465002</v>
      </c>
      <c r="L74" s="124">
        <f t="shared" si="2"/>
        <v>0.36037170237127386</v>
      </c>
      <c r="M74" s="928">
        <f t="shared" si="3"/>
        <v>9.1400083692925904E-2</v>
      </c>
    </row>
    <row r="75" spans="2:13" s="124" customFormat="1">
      <c r="B75" s="973">
        <v>8428</v>
      </c>
      <c r="C75" s="973">
        <v>4</v>
      </c>
      <c r="D75" s="973" t="s">
        <v>1995</v>
      </c>
      <c r="E75" s="973" t="s">
        <v>1992</v>
      </c>
      <c r="F75" s="973" t="s">
        <v>1995</v>
      </c>
      <c r="G75" s="973" t="s">
        <v>193</v>
      </c>
      <c r="H75" s="973" t="s">
        <v>620</v>
      </c>
      <c r="I75" s="974">
        <v>1193.2915413999999</v>
      </c>
      <c r="J75" s="974">
        <v>827.65128672000003</v>
      </c>
      <c r="K75" s="974">
        <v>30.298019581999998</v>
      </c>
      <c r="L75" s="124">
        <f t="shared" si="2"/>
        <v>0.69358682099512625</v>
      </c>
      <c r="M75" s="928">
        <f t="shared" si="3"/>
        <v>2.5390291082138732E-2</v>
      </c>
    </row>
    <row r="76" spans="2:13" s="124" customFormat="1">
      <c r="B76" s="973">
        <v>8428</v>
      </c>
      <c r="C76" s="973">
        <v>5</v>
      </c>
      <c r="D76" s="973" t="s">
        <v>1996</v>
      </c>
      <c r="E76" s="973" t="s">
        <v>1992</v>
      </c>
      <c r="F76" s="973" t="s">
        <v>1996</v>
      </c>
      <c r="G76" s="973" t="s">
        <v>184</v>
      </c>
      <c r="H76" s="973" t="s">
        <v>616</v>
      </c>
      <c r="I76" s="974">
        <v>1151.7560029000001</v>
      </c>
      <c r="J76" s="974">
        <v>690.90203832999998</v>
      </c>
      <c r="K76" s="974">
        <v>471.20052382</v>
      </c>
      <c r="L76" s="124">
        <f t="shared" si="2"/>
        <v>0.59986840666806296</v>
      </c>
      <c r="M76" s="928">
        <f t="shared" si="3"/>
        <v>0.40911488425809528</v>
      </c>
    </row>
    <row r="77" spans="2:13" s="124" customFormat="1">
      <c r="B77" s="973">
        <v>8428</v>
      </c>
      <c r="C77" s="973">
        <v>6</v>
      </c>
      <c r="D77" s="973" t="s">
        <v>1997</v>
      </c>
      <c r="E77" s="973" t="s">
        <v>1992</v>
      </c>
      <c r="F77" s="973" t="s">
        <v>1997</v>
      </c>
      <c r="G77" s="973" t="s">
        <v>196</v>
      </c>
      <c r="H77" s="973" t="s">
        <v>623</v>
      </c>
      <c r="I77" s="974">
        <v>940.83495750999998</v>
      </c>
      <c r="J77" s="974">
        <v>115.21017612</v>
      </c>
      <c r="K77" s="974">
        <v>322.25138367</v>
      </c>
      <c r="L77" s="124">
        <f t="shared" si="2"/>
        <v>0.12245524594973975</v>
      </c>
      <c r="M77" s="928">
        <f t="shared" si="3"/>
        <v>0.34251637983655048</v>
      </c>
    </row>
    <row r="78" spans="2:13" s="124" customFormat="1">
      <c r="B78" s="973">
        <v>8428</v>
      </c>
      <c r="C78" s="973">
        <v>7</v>
      </c>
      <c r="D78" s="973" t="s">
        <v>1998</v>
      </c>
      <c r="E78" s="973" t="s">
        <v>1992</v>
      </c>
      <c r="F78" s="973" t="s">
        <v>1998</v>
      </c>
      <c r="G78" s="973" t="s">
        <v>201</v>
      </c>
      <c r="H78" s="973" t="s">
        <v>1383</v>
      </c>
      <c r="I78" s="974">
        <v>924.26362089999998</v>
      </c>
      <c r="J78" s="974">
        <v>633.93751980000002</v>
      </c>
      <c r="K78" s="974">
        <v>333.29205567999998</v>
      </c>
      <c r="L78" s="124">
        <f t="shared" si="2"/>
        <v>0.68588388146523016</v>
      </c>
      <c r="M78" s="928">
        <f t="shared" si="3"/>
        <v>0.3606028065406896</v>
      </c>
    </row>
    <row r="79" spans="2:13" s="124" customFormat="1">
      <c r="B79" s="973">
        <v>8428</v>
      </c>
      <c r="C79" s="973">
        <v>8</v>
      </c>
      <c r="D79" s="973" t="s">
        <v>1999</v>
      </c>
      <c r="E79" s="973" t="s">
        <v>1992</v>
      </c>
      <c r="F79" s="973" t="s">
        <v>1999</v>
      </c>
      <c r="G79" s="973" t="s">
        <v>195</v>
      </c>
      <c r="H79" s="973" t="s">
        <v>622</v>
      </c>
      <c r="I79" s="974">
        <v>897.02161415</v>
      </c>
      <c r="J79" s="974">
        <v>97.879483984999993</v>
      </c>
      <c r="K79" s="974">
        <v>146.97015024000001</v>
      </c>
      <c r="L79" s="124">
        <f t="shared" si="2"/>
        <v>0.10911608197729847</v>
      </c>
      <c r="M79" s="928">
        <f t="shared" si="3"/>
        <v>0.16384237338502264</v>
      </c>
    </row>
    <row r="80" spans="2:13" s="124" customFormat="1">
      <c r="B80" s="973">
        <v>8428</v>
      </c>
      <c r="C80" s="973">
        <v>9</v>
      </c>
      <c r="D80" s="973" t="s">
        <v>2000</v>
      </c>
      <c r="E80" s="973" t="s">
        <v>1992</v>
      </c>
      <c r="F80" s="973" t="s">
        <v>2000</v>
      </c>
      <c r="G80" s="973" t="s">
        <v>202</v>
      </c>
      <c r="H80" s="973" t="s">
        <v>203</v>
      </c>
      <c r="I80" s="974">
        <v>863.85880896000003</v>
      </c>
      <c r="J80" s="974">
        <v>282.4605206</v>
      </c>
      <c r="K80" s="974">
        <v>572.36203240999998</v>
      </c>
      <c r="L80" s="124">
        <f t="shared" si="2"/>
        <v>0.32697533169807497</v>
      </c>
      <c r="M80" s="928">
        <f t="shared" si="3"/>
        <v>0.66256432934806431</v>
      </c>
    </row>
    <row r="81" spans="2:13" s="124" customFormat="1">
      <c r="B81" s="973">
        <v>8428</v>
      </c>
      <c r="C81" s="973">
        <v>10</v>
      </c>
      <c r="D81" s="973" t="s">
        <v>2001</v>
      </c>
      <c r="E81" s="973" t="s">
        <v>1992</v>
      </c>
      <c r="F81" s="973" t="s">
        <v>2001</v>
      </c>
      <c r="G81" s="973" t="s">
        <v>191</v>
      </c>
      <c r="H81" s="973" t="s">
        <v>192</v>
      </c>
      <c r="I81" s="974">
        <v>650.20016428999998</v>
      </c>
      <c r="J81" s="974">
        <v>527.78833205000001</v>
      </c>
      <c r="K81" s="974">
        <v>89.592972218</v>
      </c>
      <c r="L81" s="124">
        <f t="shared" si="2"/>
        <v>0.81173208042223399</v>
      </c>
      <c r="M81" s="928">
        <f t="shared" si="3"/>
        <v>0.13779290922793441</v>
      </c>
    </row>
    <row r="82" spans="2:13" s="124" customFormat="1">
      <c r="B82" s="973">
        <v>9306</v>
      </c>
      <c r="C82" s="973">
        <v>1</v>
      </c>
      <c r="D82" s="973" t="s">
        <v>1641</v>
      </c>
      <c r="E82" s="973" t="s">
        <v>172</v>
      </c>
      <c r="F82" s="973" t="s">
        <v>1641</v>
      </c>
      <c r="G82" s="973" t="s">
        <v>193</v>
      </c>
      <c r="H82" s="973" t="s">
        <v>620</v>
      </c>
      <c r="I82" s="974">
        <v>2251.4054319000002</v>
      </c>
      <c r="J82" s="974">
        <v>2077.9872438000002</v>
      </c>
      <c r="K82" s="974">
        <v>253.20351126</v>
      </c>
      <c r="L82" s="124">
        <f t="shared" si="2"/>
        <v>0.92297336337433933</v>
      </c>
      <c r="M82" s="928">
        <f t="shared" si="3"/>
        <v>0.11246464438273882</v>
      </c>
    </row>
    <row r="83" spans="2:13" s="124" customFormat="1">
      <c r="B83" s="973">
        <v>9306</v>
      </c>
      <c r="C83" s="973">
        <v>2</v>
      </c>
      <c r="D83" s="973" t="s">
        <v>1642</v>
      </c>
      <c r="E83" s="973" t="s">
        <v>172</v>
      </c>
      <c r="F83" s="973" t="s">
        <v>1642</v>
      </c>
      <c r="G83" s="973" t="s">
        <v>194</v>
      </c>
      <c r="H83" s="973" t="s">
        <v>621</v>
      </c>
      <c r="I83" s="974">
        <v>1307.2208399000001</v>
      </c>
      <c r="J83" s="974">
        <v>581.62980862999996</v>
      </c>
      <c r="K83" s="974">
        <v>564</v>
      </c>
      <c r="L83" s="124">
        <f t="shared" si="2"/>
        <v>0.44493615070770559</v>
      </c>
      <c r="M83" s="928">
        <f t="shared" si="3"/>
        <v>0.43144967000613677</v>
      </c>
    </row>
    <row r="84" spans="2:13" s="124" customFormat="1">
      <c r="B84" s="973">
        <v>9306</v>
      </c>
      <c r="C84" s="973">
        <v>3</v>
      </c>
      <c r="D84" s="973" t="s">
        <v>1643</v>
      </c>
      <c r="E84" s="973" t="s">
        <v>172</v>
      </c>
      <c r="F84" s="973" t="s">
        <v>1643</v>
      </c>
      <c r="G84" s="973" t="s">
        <v>185</v>
      </c>
      <c r="H84" s="973" t="s">
        <v>617</v>
      </c>
      <c r="I84" s="974">
        <v>1277.8839802</v>
      </c>
      <c r="J84" s="974">
        <v>268.91295681999998</v>
      </c>
      <c r="K84" s="974">
        <v>418.50445248</v>
      </c>
      <c r="L84" s="124">
        <f t="shared" si="2"/>
        <v>0.21043612799490041</v>
      </c>
      <c r="M84" s="928">
        <f t="shared" si="3"/>
        <v>0.32749800370335685</v>
      </c>
    </row>
    <row r="85" spans="2:13" s="124" customFormat="1">
      <c r="B85" s="973">
        <v>9306</v>
      </c>
      <c r="C85" s="973">
        <v>4</v>
      </c>
      <c r="D85" s="973" t="s">
        <v>1644</v>
      </c>
      <c r="E85" s="973" t="s">
        <v>172</v>
      </c>
      <c r="F85" s="973" t="s">
        <v>1644</v>
      </c>
      <c r="G85" s="973" t="s">
        <v>196</v>
      </c>
      <c r="H85" s="973" t="s">
        <v>623</v>
      </c>
      <c r="I85" s="974">
        <v>1272.2155150000001</v>
      </c>
      <c r="J85" s="974">
        <v>951.50263341000004</v>
      </c>
      <c r="K85" s="974">
        <v>49.616655999999999</v>
      </c>
      <c r="L85" s="124">
        <f t="shared" si="2"/>
        <v>0.74790994308067371</v>
      </c>
      <c r="M85" s="928">
        <f t="shared" si="3"/>
        <v>3.9000197226803979E-2</v>
      </c>
    </row>
    <row r="86" spans="2:13" s="124" customFormat="1">
      <c r="B86" s="973">
        <v>9306</v>
      </c>
      <c r="C86" s="973">
        <v>5</v>
      </c>
      <c r="D86" s="973" t="s">
        <v>1645</v>
      </c>
      <c r="E86" s="973" t="s">
        <v>172</v>
      </c>
      <c r="F86" s="973" t="s">
        <v>1645</v>
      </c>
      <c r="G86" s="973" t="s">
        <v>201</v>
      </c>
      <c r="H86" s="973" t="s">
        <v>1383</v>
      </c>
      <c r="I86" s="974">
        <v>1264.9410679</v>
      </c>
      <c r="J86" s="974">
        <v>235.33564605999999</v>
      </c>
      <c r="K86" s="974">
        <v>423.42396631999998</v>
      </c>
      <c r="L86" s="124">
        <f t="shared" si="2"/>
        <v>0.18604475104179671</v>
      </c>
      <c r="M86" s="928">
        <f t="shared" si="3"/>
        <v>0.33473809734310389</v>
      </c>
    </row>
    <row r="87" spans="2:13" s="124" customFormat="1">
      <c r="B87" s="973">
        <v>9306</v>
      </c>
      <c r="C87" s="973">
        <v>6</v>
      </c>
      <c r="D87" s="973" t="s">
        <v>1646</v>
      </c>
      <c r="E87" s="973" t="s">
        <v>172</v>
      </c>
      <c r="F87" s="973" t="s">
        <v>1646</v>
      </c>
      <c r="G87" s="973" t="s">
        <v>184</v>
      </c>
      <c r="H87" s="973" t="s">
        <v>616</v>
      </c>
      <c r="I87" s="974">
        <v>1253.0071109999999</v>
      </c>
      <c r="J87" s="974">
        <v>592.33461928999998</v>
      </c>
      <c r="K87" s="974">
        <v>761.26637200000005</v>
      </c>
      <c r="L87" s="124">
        <f t="shared" si="2"/>
        <v>0.47273045307561706</v>
      </c>
      <c r="M87" s="928">
        <f t="shared" si="3"/>
        <v>0.60755151771840188</v>
      </c>
    </row>
    <row r="88" spans="2:13" s="124" customFormat="1">
      <c r="B88" s="973">
        <v>9306</v>
      </c>
      <c r="C88" s="973">
        <v>7</v>
      </c>
      <c r="D88" s="973" t="s">
        <v>1647</v>
      </c>
      <c r="E88" s="973" t="s">
        <v>172</v>
      </c>
      <c r="F88" s="973" t="s">
        <v>1647</v>
      </c>
      <c r="G88" s="973" t="s">
        <v>207</v>
      </c>
      <c r="H88" s="973" t="s">
        <v>208</v>
      </c>
      <c r="I88" s="974">
        <v>1043.7452999</v>
      </c>
      <c r="J88" s="974">
        <v>173.90716069000001</v>
      </c>
      <c r="K88" s="974">
        <v>119.86269433</v>
      </c>
      <c r="L88" s="124">
        <f t="shared" si="2"/>
        <v>0.16661838928200381</v>
      </c>
      <c r="M88" s="928">
        <f t="shared" si="3"/>
        <v>0.11483902666817652</v>
      </c>
    </row>
    <row r="89" spans="2:13" s="124" customFormat="1">
      <c r="B89" s="973">
        <v>9306</v>
      </c>
      <c r="C89" s="973">
        <v>8</v>
      </c>
      <c r="D89" s="973" t="s">
        <v>1648</v>
      </c>
      <c r="E89" s="973" t="s">
        <v>172</v>
      </c>
      <c r="F89" s="973" t="s">
        <v>1648</v>
      </c>
      <c r="G89" s="973" t="s">
        <v>200</v>
      </c>
      <c r="H89" s="973" t="s">
        <v>626</v>
      </c>
      <c r="I89" s="974">
        <v>1024.4624016</v>
      </c>
      <c r="J89" s="974">
        <v>330.30185868000001</v>
      </c>
      <c r="K89" s="974">
        <v>150.8178691</v>
      </c>
      <c r="L89" s="124">
        <f t="shared" si="2"/>
        <v>0.32241481792219634</v>
      </c>
      <c r="M89" s="928">
        <f t="shared" si="3"/>
        <v>0.14721659756810346</v>
      </c>
    </row>
    <row r="90" spans="2:13" s="124" customFormat="1">
      <c r="B90" s="973">
        <v>9306</v>
      </c>
      <c r="C90" s="973">
        <v>9</v>
      </c>
      <c r="D90" s="973" t="s">
        <v>1649</v>
      </c>
      <c r="E90" s="973" t="s">
        <v>172</v>
      </c>
      <c r="F90" s="973" t="s">
        <v>1649</v>
      </c>
      <c r="G90" s="973" t="s">
        <v>189</v>
      </c>
      <c r="H90" s="973" t="s">
        <v>619</v>
      </c>
      <c r="I90" s="974">
        <v>885.66197232000002</v>
      </c>
      <c r="J90" s="974">
        <v>319.33533935000003</v>
      </c>
      <c r="K90" s="974">
        <v>105.79404150000001</v>
      </c>
      <c r="L90" s="124">
        <f t="shared" si="2"/>
        <v>0.36056119527577551</v>
      </c>
      <c r="M90" s="928">
        <f t="shared" si="3"/>
        <v>0.11945194081537847</v>
      </c>
    </row>
    <row r="91" spans="2:13" s="124" customFormat="1">
      <c r="B91" s="973">
        <v>9306</v>
      </c>
      <c r="C91" s="973">
        <v>10</v>
      </c>
      <c r="D91" s="973" t="s">
        <v>1650</v>
      </c>
      <c r="E91" s="973" t="s">
        <v>172</v>
      </c>
      <c r="F91" s="973" t="s">
        <v>1650</v>
      </c>
      <c r="G91" s="973" t="s">
        <v>188</v>
      </c>
      <c r="H91" s="973" t="s">
        <v>618</v>
      </c>
      <c r="I91" s="974">
        <v>835.26869964000002</v>
      </c>
      <c r="J91" s="974">
        <v>253.52844304999999</v>
      </c>
      <c r="K91" s="974">
        <v>661.10631873</v>
      </c>
      <c r="L91" s="124">
        <f t="shared" si="2"/>
        <v>0.30352920342791545</v>
      </c>
      <c r="M91" s="928">
        <f t="shared" si="3"/>
        <v>0.79148939618464831</v>
      </c>
    </row>
    <row r="92" spans="2:13" s="124" customFormat="1">
      <c r="B92" s="973">
        <v>7642</v>
      </c>
      <c r="C92" s="973">
        <v>1</v>
      </c>
      <c r="D92" s="973" t="s">
        <v>1631</v>
      </c>
      <c r="E92" s="973" t="s">
        <v>167</v>
      </c>
      <c r="F92" s="973" t="s">
        <v>1631</v>
      </c>
      <c r="G92" s="973" t="s">
        <v>201</v>
      </c>
      <c r="H92" s="973" t="s">
        <v>1383</v>
      </c>
      <c r="I92" s="974">
        <v>1568.3767984000001</v>
      </c>
      <c r="J92" s="974">
        <v>650.19477761999997</v>
      </c>
      <c r="K92" s="974">
        <v>738.82851777999997</v>
      </c>
      <c r="L92" s="124">
        <f t="shared" si="2"/>
        <v>0.41456541456319973</v>
      </c>
      <c r="M92" s="928">
        <f t="shared" si="3"/>
        <v>0.47107845419144523</v>
      </c>
    </row>
    <row r="93" spans="2:13" s="124" customFormat="1">
      <c r="B93" s="973">
        <v>7642</v>
      </c>
      <c r="C93" s="973">
        <v>2</v>
      </c>
      <c r="D93" s="973" t="s">
        <v>1632</v>
      </c>
      <c r="E93" s="973" t="s">
        <v>167</v>
      </c>
      <c r="F93" s="973" t="s">
        <v>1632</v>
      </c>
      <c r="G93" s="973" t="s">
        <v>193</v>
      </c>
      <c r="H93" s="973" t="s">
        <v>620</v>
      </c>
      <c r="I93" s="974">
        <v>1060.7885323</v>
      </c>
      <c r="J93" s="974">
        <v>714.57530286999997</v>
      </c>
      <c r="K93" s="974">
        <v>174.40445806</v>
      </c>
      <c r="L93" s="124">
        <f t="shared" si="2"/>
        <v>0.67362653451829735</v>
      </c>
      <c r="M93" s="928">
        <f t="shared" si="3"/>
        <v>0.16441020311735133</v>
      </c>
    </row>
    <row r="94" spans="2:13" s="124" customFormat="1">
      <c r="B94" s="973">
        <v>7642</v>
      </c>
      <c r="C94" s="973">
        <v>3</v>
      </c>
      <c r="D94" s="973" t="s">
        <v>1633</v>
      </c>
      <c r="E94" s="973" t="s">
        <v>167</v>
      </c>
      <c r="F94" s="973" t="s">
        <v>1633</v>
      </c>
      <c r="G94" s="973" t="s">
        <v>185</v>
      </c>
      <c r="H94" s="973" t="s">
        <v>617</v>
      </c>
      <c r="I94" s="974">
        <v>900.14814047000004</v>
      </c>
      <c r="J94" s="974">
        <v>302.63087149</v>
      </c>
      <c r="K94" s="974">
        <v>426.89760811000002</v>
      </c>
      <c r="L94" s="124">
        <f t="shared" si="2"/>
        <v>0.33620118498715718</v>
      </c>
      <c r="M94" s="928">
        <f t="shared" si="3"/>
        <v>0.47425261344993869</v>
      </c>
    </row>
    <row r="95" spans="2:13" s="124" customFormat="1">
      <c r="B95" s="973">
        <v>7642</v>
      </c>
      <c r="C95" s="973">
        <v>4</v>
      </c>
      <c r="D95" s="973" t="s">
        <v>1634</v>
      </c>
      <c r="E95" s="973" t="s">
        <v>167</v>
      </c>
      <c r="F95" s="973" t="s">
        <v>1634</v>
      </c>
      <c r="G95" s="973" t="s">
        <v>184</v>
      </c>
      <c r="H95" s="973" t="s">
        <v>616</v>
      </c>
      <c r="I95" s="974">
        <v>780.58438751000006</v>
      </c>
      <c r="J95" s="974">
        <v>265.69556492999999</v>
      </c>
      <c r="K95" s="974">
        <v>440.24859557000002</v>
      </c>
      <c r="L95" s="124">
        <f t="shared" si="2"/>
        <v>0.34038032169404125</v>
      </c>
      <c r="M95" s="928">
        <f t="shared" si="3"/>
        <v>0.56399872020801856</v>
      </c>
    </row>
    <row r="96" spans="2:13" s="124" customFormat="1">
      <c r="B96" s="973">
        <v>7642</v>
      </c>
      <c r="C96" s="973">
        <v>5</v>
      </c>
      <c r="D96" s="973" t="s">
        <v>1635</v>
      </c>
      <c r="E96" s="973" t="s">
        <v>167</v>
      </c>
      <c r="F96" s="973" t="s">
        <v>1635</v>
      </c>
      <c r="G96" s="973" t="s">
        <v>189</v>
      </c>
      <c r="H96" s="973" t="s">
        <v>619</v>
      </c>
      <c r="I96" s="974">
        <v>717.31514428000003</v>
      </c>
      <c r="J96" s="974">
        <v>82.935317236000003</v>
      </c>
      <c r="K96" s="974">
        <v>380.53247539</v>
      </c>
      <c r="L96" s="124">
        <f t="shared" si="2"/>
        <v>0.11561908025690122</v>
      </c>
      <c r="M96" s="928">
        <f t="shared" si="3"/>
        <v>0.5304955268607312</v>
      </c>
    </row>
    <row r="97" spans="2:13" s="124" customFormat="1">
      <c r="B97" s="973">
        <v>7642</v>
      </c>
      <c r="C97" s="973">
        <v>6</v>
      </c>
      <c r="D97" s="973" t="s">
        <v>1636</v>
      </c>
      <c r="E97" s="973" t="s">
        <v>167</v>
      </c>
      <c r="F97" s="973" t="s">
        <v>1636</v>
      </c>
      <c r="G97" s="973" t="s">
        <v>216</v>
      </c>
      <c r="H97" s="973" t="s">
        <v>217</v>
      </c>
      <c r="I97" s="974">
        <v>596.71423299000003</v>
      </c>
      <c r="J97" s="974">
        <v>30.217340140000001</v>
      </c>
      <c r="K97" s="974">
        <v>9.7294089033999995</v>
      </c>
      <c r="L97" s="124">
        <f t="shared" si="2"/>
        <v>5.0639549837093283E-2</v>
      </c>
      <c r="M97" s="928">
        <f t="shared" si="3"/>
        <v>1.630497207121763E-2</v>
      </c>
    </row>
    <row r="98" spans="2:13" s="124" customFormat="1">
      <c r="B98" s="973">
        <v>7642</v>
      </c>
      <c r="C98" s="973">
        <v>7</v>
      </c>
      <c r="D98" s="973" t="s">
        <v>1637</v>
      </c>
      <c r="E98" s="973" t="s">
        <v>167</v>
      </c>
      <c r="F98" s="973" t="s">
        <v>1637</v>
      </c>
      <c r="G98" s="973" t="s">
        <v>191</v>
      </c>
      <c r="H98" s="973" t="s">
        <v>192</v>
      </c>
      <c r="I98" s="974">
        <v>541.99587716999997</v>
      </c>
      <c r="J98" s="974">
        <v>305.28578047000002</v>
      </c>
      <c r="K98" s="974">
        <v>189.23050581999999</v>
      </c>
      <c r="L98" s="124">
        <f t="shared" si="2"/>
        <v>0.56326218211111123</v>
      </c>
      <c r="M98" s="928">
        <f t="shared" si="3"/>
        <v>0.3491364303508287</v>
      </c>
    </row>
    <row r="99" spans="2:13" s="124" customFormat="1">
      <c r="B99" s="973">
        <v>7642</v>
      </c>
      <c r="C99" s="973">
        <v>8</v>
      </c>
      <c r="D99" s="973" t="s">
        <v>1638</v>
      </c>
      <c r="E99" s="973" t="s">
        <v>167</v>
      </c>
      <c r="F99" s="973" t="s">
        <v>1638</v>
      </c>
      <c r="G99" s="973" t="s">
        <v>227</v>
      </c>
      <c r="H99" s="973" t="s">
        <v>634</v>
      </c>
      <c r="I99" s="974">
        <v>525.16511342000001</v>
      </c>
      <c r="J99" s="974">
        <v>323.51505416999998</v>
      </c>
      <c r="K99" s="974"/>
      <c r="L99" s="124">
        <f t="shared" si="2"/>
        <v>0.616025409729129</v>
      </c>
      <c r="M99" s="928">
        <f t="shared" si="3"/>
        <v>0</v>
      </c>
    </row>
    <row r="100" spans="2:13" s="124" customFormat="1">
      <c r="B100" s="973">
        <v>7642</v>
      </c>
      <c r="C100" s="973">
        <v>9</v>
      </c>
      <c r="D100" s="973" t="s">
        <v>1639</v>
      </c>
      <c r="E100" s="973" t="s">
        <v>167</v>
      </c>
      <c r="F100" s="973" t="s">
        <v>1639</v>
      </c>
      <c r="G100" s="973" t="s">
        <v>206</v>
      </c>
      <c r="H100" s="973" t="s">
        <v>629</v>
      </c>
      <c r="I100" s="974">
        <v>477.67357769</v>
      </c>
      <c r="J100" s="974">
        <v>124.7719958</v>
      </c>
      <c r="K100" s="974">
        <v>57.440636947999998</v>
      </c>
      <c r="L100" s="124">
        <f t="shared" si="2"/>
        <v>0.26120765649921374</v>
      </c>
      <c r="M100" s="928">
        <f t="shared" si="3"/>
        <v>0.12025081484678173</v>
      </c>
    </row>
    <row r="101" spans="2:13" s="124" customFormat="1">
      <c r="B101" s="973">
        <v>7642</v>
      </c>
      <c r="C101" s="973">
        <v>10</v>
      </c>
      <c r="D101" s="973" t="s">
        <v>1640</v>
      </c>
      <c r="E101" s="973" t="s">
        <v>167</v>
      </c>
      <c r="F101" s="973" t="s">
        <v>1640</v>
      </c>
      <c r="G101" s="973" t="s">
        <v>197</v>
      </c>
      <c r="H101" s="973" t="s">
        <v>624</v>
      </c>
      <c r="I101" s="974">
        <v>476.46348604999997</v>
      </c>
      <c r="J101" s="974">
        <v>142.43145462000001</v>
      </c>
      <c r="K101" s="974">
        <v>160.48164095999999</v>
      </c>
      <c r="L101" s="124">
        <f t="shared" si="2"/>
        <v>0.29893466926666712</v>
      </c>
      <c r="M101" s="928">
        <f t="shared" si="3"/>
        <v>0.33681834108723097</v>
      </c>
    </row>
    <row r="102" spans="2:13" s="124" customFormat="1">
      <c r="B102" s="973">
        <v>5220</v>
      </c>
      <c r="C102" s="973">
        <v>1</v>
      </c>
      <c r="D102" s="973" t="s">
        <v>1581</v>
      </c>
      <c r="E102" s="973" t="s">
        <v>157</v>
      </c>
      <c r="F102" s="973" t="s">
        <v>1581</v>
      </c>
      <c r="G102" s="973" t="s">
        <v>201</v>
      </c>
      <c r="H102" s="973" t="s">
        <v>1383</v>
      </c>
      <c r="I102" s="974">
        <v>1586.9448577999999</v>
      </c>
      <c r="J102" s="974">
        <v>864.22885237000003</v>
      </c>
      <c r="K102" s="974">
        <v>176.27742069999999</v>
      </c>
      <c r="L102" s="124">
        <f t="shared" si="2"/>
        <v>0.54458656715274312</v>
      </c>
      <c r="M102" s="928">
        <f t="shared" si="3"/>
        <v>0.11107973905556834</v>
      </c>
    </row>
    <row r="103" spans="2:13" s="124" customFormat="1">
      <c r="B103" s="973">
        <v>5220</v>
      </c>
      <c r="C103" s="973">
        <v>2</v>
      </c>
      <c r="D103" s="973" t="s">
        <v>1582</v>
      </c>
      <c r="E103" s="973" t="s">
        <v>157</v>
      </c>
      <c r="F103" s="973" t="s">
        <v>1582</v>
      </c>
      <c r="G103" s="973" t="s">
        <v>227</v>
      </c>
      <c r="H103" s="973" t="s">
        <v>634</v>
      </c>
      <c r="I103" s="974">
        <v>1373.1619403</v>
      </c>
      <c r="J103" s="974">
        <v>1109.8927071999999</v>
      </c>
      <c r="K103" s="974"/>
      <c r="L103" s="124">
        <f t="shared" si="2"/>
        <v>0.80827517470919519</v>
      </c>
      <c r="M103" s="928">
        <f t="shared" si="3"/>
        <v>0</v>
      </c>
    </row>
    <row r="104" spans="2:13" s="124" customFormat="1">
      <c r="B104" s="973">
        <v>5220</v>
      </c>
      <c r="C104" s="973">
        <v>3</v>
      </c>
      <c r="D104" s="973" t="s">
        <v>1583</v>
      </c>
      <c r="E104" s="973" t="s">
        <v>157</v>
      </c>
      <c r="F104" s="973" t="s">
        <v>1583</v>
      </c>
      <c r="G104" s="973" t="s">
        <v>193</v>
      </c>
      <c r="H104" s="973" t="s">
        <v>620</v>
      </c>
      <c r="I104" s="974">
        <v>1183.3226729999999</v>
      </c>
      <c r="J104" s="974">
        <v>1086.9953545000001</v>
      </c>
      <c r="K104" s="974">
        <v>12.501020793</v>
      </c>
      <c r="L104" s="124">
        <f t="shared" si="2"/>
        <v>0.91859589890575866</v>
      </c>
      <c r="M104" s="928">
        <f t="shared" si="3"/>
        <v>1.0564338094956794E-2</v>
      </c>
    </row>
    <row r="105" spans="2:13" s="124" customFormat="1">
      <c r="B105" s="973">
        <v>5220</v>
      </c>
      <c r="C105" s="973">
        <v>4</v>
      </c>
      <c r="D105" s="973" t="s">
        <v>1584</v>
      </c>
      <c r="E105" s="973" t="s">
        <v>157</v>
      </c>
      <c r="F105" s="973" t="s">
        <v>1584</v>
      </c>
      <c r="G105" s="973" t="s">
        <v>188</v>
      </c>
      <c r="H105" s="973" t="s">
        <v>618</v>
      </c>
      <c r="I105" s="974">
        <v>964.86580837999998</v>
      </c>
      <c r="J105" s="974">
        <v>233.25160022</v>
      </c>
      <c r="K105" s="974">
        <v>49.596830249999996</v>
      </c>
      <c r="L105" s="124">
        <f t="shared" si="2"/>
        <v>0.24174511957432412</v>
      </c>
      <c r="M105" s="928">
        <f t="shared" si="3"/>
        <v>5.1402827024488076E-2</v>
      </c>
    </row>
    <row r="106" spans="2:13" s="124" customFormat="1">
      <c r="B106" s="973">
        <v>5220</v>
      </c>
      <c r="C106" s="973">
        <v>5</v>
      </c>
      <c r="D106" s="973" t="s">
        <v>1585</v>
      </c>
      <c r="E106" s="973" t="s">
        <v>157</v>
      </c>
      <c r="F106" s="973" t="s">
        <v>1585</v>
      </c>
      <c r="G106" s="973" t="s">
        <v>199</v>
      </c>
      <c r="H106" s="973" t="s">
        <v>1652</v>
      </c>
      <c r="I106" s="974">
        <v>799.53798992999998</v>
      </c>
      <c r="J106" s="974">
        <v>204.66365922</v>
      </c>
      <c r="K106" s="974">
        <v>260.06339551000002</v>
      </c>
      <c r="L106" s="124">
        <f t="shared" si="2"/>
        <v>0.25597740419803994</v>
      </c>
      <c r="M106" s="928">
        <f t="shared" si="3"/>
        <v>0.32526709022640526</v>
      </c>
    </row>
    <row r="107" spans="2:13" s="124" customFormat="1">
      <c r="B107" s="973">
        <v>5220</v>
      </c>
      <c r="C107" s="973">
        <v>6</v>
      </c>
      <c r="D107" s="973" t="s">
        <v>1586</v>
      </c>
      <c r="E107" s="973" t="s">
        <v>157</v>
      </c>
      <c r="F107" s="973" t="s">
        <v>1586</v>
      </c>
      <c r="G107" s="973" t="s">
        <v>185</v>
      </c>
      <c r="H107" s="973" t="s">
        <v>617</v>
      </c>
      <c r="I107" s="974">
        <v>781.60910902000001</v>
      </c>
      <c r="J107" s="974">
        <v>410.76067001000001</v>
      </c>
      <c r="K107" s="974">
        <v>175.46313171</v>
      </c>
      <c r="L107" s="124">
        <f t="shared" si="2"/>
        <v>0.52553209177029869</v>
      </c>
      <c r="M107" s="928">
        <f t="shared" si="3"/>
        <v>0.22448961979217441</v>
      </c>
    </row>
    <row r="108" spans="2:13" s="124" customFormat="1">
      <c r="B108" s="973">
        <v>5220</v>
      </c>
      <c r="C108" s="973">
        <v>7</v>
      </c>
      <c r="D108" s="973" t="s">
        <v>1587</v>
      </c>
      <c r="E108" s="973" t="s">
        <v>157</v>
      </c>
      <c r="F108" s="973" t="s">
        <v>1587</v>
      </c>
      <c r="G108" s="973" t="s">
        <v>218</v>
      </c>
      <c r="H108" s="973" t="s">
        <v>219</v>
      </c>
      <c r="I108" s="974">
        <v>770.53009656999996</v>
      </c>
      <c r="J108" s="974">
        <v>414.12605615000001</v>
      </c>
      <c r="K108" s="974">
        <v>713.80527961999996</v>
      </c>
      <c r="L108" s="124">
        <f t="shared" si="2"/>
        <v>0.53745604226684229</v>
      </c>
      <c r="M108" s="928">
        <f t="shared" si="3"/>
        <v>0.92638208786066967</v>
      </c>
    </row>
    <row r="109" spans="2:13" s="124" customFormat="1">
      <c r="B109" s="973">
        <v>5220</v>
      </c>
      <c r="C109" s="973">
        <v>8</v>
      </c>
      <c r="D109" s="973" t="s">
        <v>1588</v>
      </c>
      <c r="E109" s="973" t="s">
        <v>157</v>
      </c>
      <c r="F109" s="973" t="s">
        <v>1588</v>
      </c>
      <c r="G109" s="973" t="s">
        <v>190</v>
      </c>
      <c r="H109" s="973" t="s">
        <v>627</v>
      </c>
      <c r="I109" s="974">
        <v>720.42568209000001</v>
      </c>
      <c r="J109" s="974">
        <v>186.12000108999999</v>
      </c>
      <c r="K109" s="974">
        <v>340.93092378</v>
      </c>
      <c r="L109" s="124">
        <f t="shared" si="2"/>
        <v>0.25834726012272941</v>
      </c>
      <c r="M109" s="928">
        <f t="shared" si="3"/>
        <v>0.4732353832680396</v>
      </c>
    </row>
    <row r="110" spans="2:13" s="124" customFormat="1">
      <c r="B110" s="973">
        <v>5220</v>
      </c>
      <c r="C110" s="973">
        <v>9</v>
      </c>
      <c r="D110" s="973" t="s">
        <v>1589</v>
      </c>
      <c r="E110" s="973" t="s">
        <v>157</v>
      </c>
      <c r="F110" s="973" t="s">
        <v>1589</v>
      </c>
      <c r="G110" s="973" t="s">
        <v>197</v>
      </c>
      <c r="H110" s="973" t="s">
        <v>624</v>
      </c>
      <c r="I110" s="974">
        <v>635.37801988000001</v>
      </c>
      <c r="J110" s="974">
        <v>329.68176657999999</v>
      </c>
      <c r="K110" s="974">
        <v>250.73829498000001</v>
      </c>
      <c r="L110" s="124">
        <f t="shared" si="2"/>
        <v>0.51887499451470631</v>
      </c>
      <c r="M110" s="928">
        <f t="shared" si="3"/>
        <v>0.39462853157456629</v>
      </c>
    </row>
    <row r="111" spans="2:13" s="124" customFormat="1">
      <c r="B111" s="973">
        <v>5220</v>
      </c>
      <c r="C111" s="973">
        <v>10</v>
      </c>
      <c r="D111" s="973" t="s">
        <v>1590</v>
      </c>
      <c r="E111" s="973" t="s">
        <v>157</v>
      </c>
      <c r="F111" s="973" t="s">
        <v>1590</v>
      </c>
      <c r="G111" s="973" t="s">
        <v>189</v>
      </c>
      <c r="H111" s="973" t="s">
        <v>619</v>
      </c>
      <c r="I111" s="974">
        <v>594.03501848999997</v>
      </c>
      <c r="J111" s="974">
        <v>24.312519697999999</v>
      </c>
      <c r="K111" s="974">
        <v>101.49469456999999</v>
      </c>
      <c r="L111" s="124">
        <f t="shared" si="2"/>
        <v>4.0927754999698349E-2</v>
      </c>
      <c r="M111" s="928">
        <f t="shared" si="3"/>
        <v>0.17085641655940281</v>
      </c>
    </row>
    <row r="112" spans="2:13" s="124" customFormat="1">
      <c r="B112" s="973">
        <v>5314</v>
      </c>
      <c r="C112" s="973">
        <v>1</v>
      </c>
      <c r="D112" s="973" t="s">
        <v>1591</v>
      </c>
      <c r="E112" s="973" t="s">
        <v>160</v>
      </c>
      <c r="F112" s="973" t="s">
        <v>1591</v>
      </c>
      <c r="G112" s="973" t="s">
        <v>201</v>
      </c>
      <c r="H112" s="973" t="s">
        <v>1383</v>
      </c>
      <c r="I112" s="974">
        <v>1128.3699968000001</v>
      </c>
      <c r="J112" s="974">
        <v>601.44300551000003</v>
      </c>
      <c r="K112" s="974">
        <v>210.9351394</v>
      </c>
      <c r="L112" s="124">
        <f t="shared" si="2"/>
        <v>0.53301931743635667</v>
      </c>
      <c r="M112" s="928">
        <f t="shared" si="3"/>
        <v>0.1869379192979265</v>
      </c>
    </row>
    <row r="113" spans="2:13" s="124" customFormat="1">
      <c r="B113" s="973">
        <v>5314</v>
      </c>
      <c r="C113" s="973">
        <v>2</v>
      </c>
      <c r="D113" s="973" t="s">
        <v>1592</v>
      </c>
      <c r="E113" s="973" t="s">
        <v>160</v>
      </c>
      <c r="F113" s="973" t="s">
        <v>1592</v>
      </c>
      <c r="G113" s="973" t="s">
        <v>188</v>
      </c>
      <c r="H113" s="973" t="s">
        <v>618</v>
      </c>
      <c r="I113" s="974">
        <v>1051.3895594999999</v>
      </c>
      <c r="J113" s="974">
        <v>859.69099951999999</v>
      </c>
      <c r="K113" s="974">
        <v>773.45764047</v>
      </c>
      <c r="L113" s="124">
        <f t="shared" si="2"/>
        <v>0.81767123494058247</v>
      </c>
      <c r="M113" s="928">
        <f t="shared" si="3"/>
        <v>0.73565276873952068</v>
      </c>
    </row>
    <row r="114" spans="2:13" s="124" customFormat="1">
      <c r="B114" s="973">
        <v>5314</v>
      </c>
      <c r="C114" s="973">
        <v>3</v>
      </c>
      <c r="D114" s="973" t="s">
        <v>1593</v>
      </c>
      <c r="E114" s="973" t="s">
        <v>160</v>
      </c>
      <c r="F114" s="973" t="s">
        <v>1593</v>
      </c>
      <c r="G114" s="973" t="s">
        <v>197</v>
      </c>
      <c r="H114" s="973" t="s">
        <v>624</v>
      </c>
      <c r="I114" s="974">
        <v>990.99070619999998</v>
      </c>
      <c r="J114" s="974">
        <v>194.65964790000001</v>
      </c>
      <c r="K114" s="974">
        <v>206.43820303000001</v>
      </c>
      <c r="L114" s="124">
        <f t="shared" si="2"/>
        <v>0.19642933751259031</v>
      </c>
      <c r="M114" s="928">
        <f t="shared" si="3"/>
        <v>0.20831497383219355</v>
      </c>
    </row>
    <row r="115" spans="2:13" s="124" customFormat="1">
      <c r="B115" s="973">
        <v>5314</v>
      </c>
      <c r="C115" s="973">
        <v>4</v>
      </c>
      <c r="D115" s="973" t="s">
        <v>1594</v>
      </c>
      <c r="E115" s="973" t="s">
        <v>160</v>
      </c>
      <c r="F115" s="973" t="s">
        <v>1594</v>
      </c>
      <c r="G115" s="973" t="s">
        <v>227</v>
      </c>
      <c r="H115" s="973" t="s">
        <v>634</v>
      </c>
      <c r="I115" s="974">
        <v>956.47774905999995</v>
      </c>
      <c r="J115" s="974">
        <v>731.23929377000002</v>
      </c>
      <c r="K115" s="974">
        <v>6</v>
      </c>
      <c r="L115" s="124">
        <f t="shared" si="2"/>
        <v>0.7645126031302264</v>
      </c>
      <c r="M115" s="928">
        <f t="shared" si="3"/>
        <v>6.273015766332918E-3</v>
      </c>
    </row>
    <row r="116" spans="2:13" s="124" customFormat="1">
      <c r="B116" s="973">
        <v>5314</v>
      </c>
      <c r="C116" s="973">
        <v>5</v>
      </c>
      <c r="D116" s="973" t="s">
        <v>1595</v>
      </c>
      <c r="E116" s="973" t="s">
        <v>160</v>
      </c>
      <c r="F116" s="973" t="s">
        <v>1595</v>
      </c>
      <c r="G116" s="973" t="s">
        <v>224</v>
      </c>
      <c r="H116" s="973" t="s">
        <v>225</v>
      </c>
      <c r="I116" s="974">
        <v>685.03462112</v>
      </c>
      <c r="J116" s="974">
        <v>281.11229251999998</v>
      </c>
      <c r="K116" s="974">
        <v>593.72929033000003</v>
      </c>
      <c r="L116" s="124">
        <f t="shared" si="2"/>
        <v>0.41036216835346856</v>
      </c>
      <c r="M116" s="928">
        <f t="shared" si="3"/>
        <v>0.86671428278950347</v>
      </c>
    </row>
    <row r="117" spans="2:13" s="124" customFormat="1">
      <c r="B117" s="973">
        <v>5314</v>
      </c>
      <c r="C117" s="973">
        <v>6</v>
      </c>
      <c r="D117" s="973" t="s">
        <v>1596</v>
      </c>
      <c r="E117" s="973" t="s">
        <v>160</v>
      </c>
      <c r="F117" s="973" t="s">
        <v>1596</v>
      </c>
      <c r="G117" s="973" t="s">
        <v>193</v>
      </c>
      <c r="H117" s="973" t="s">
        <v>620</v>
      </c>
      <c r="I117" s="974">
        <v>680.92132794999998</v>
      </c>
      <c r="J117" s="974">
        <v>612.85606681000002</v>
      </c>
      <c r="K117" s="974">
        <v>173.67508344999999</v>
      </c>
      <c r="L117" s="124">
        <f t="shared" si="2"/>
        <v>0.90003946367061372</v>
      </c>
      <c r="M117" s="928">
        <f t="shared" si="3"/>
        <v>0.2550589566240653</v>
      </c>
    </row>
    <row r="118" spans="2:13" s="124" customFormat="1">
      <c r="B118" s="973">
        <v>5314</v>
      </c>
      <c r="C118" s="973">
        <v>7</v>
      </c>
      <c r="D118" s="973" t="s">
        <v>1597</v>
      </c>
      <c r="E118" s="973" t="s">
        <v>160</v>
      </c>
      <c r="F118" s="973" t="s">
        <v>1597</v>
      </c>
      <c r="G118" s="973" t="s">
        <v>185</v>
      </c>
      <c r="H118" s="973" t="s">
        <v>617</v>
      </c>
      <c r="I118" s="974">
        <v>666.30960034999998</v>
      </c>
      <c r="J118" s="974">
        <v>276.64332043000002</v>
      </c>
      <c r="K118" s="974">
        <v>35.957430189999997</v>
      </c>
      <c r="L118" s="124">
        <f t="shared" si="2"/>
        <v>0.41518735477424373</v>
      </c>
      <c r="M118" s="928">
        <f t="shared" si="3"/>
        <v>5.3965048936878937E-2</v>
      </c>
    </row>
    <row r="119" spans="2:13" s="124" customFormat="1">
      <c r="B119" s="973">
        <v>5314</v>
      </c>
      <c r="C119" s="973">
        <v>8</v>
      </c>
      <c r="D119" s="973" t="s">
        <v>1598</v>
      </c>
      <c r="E119" s="973" t="s">
        <v>160</v>
      </c>
      <c r="F119" s="973" t="s">
        <v>1598</v>
      </c>
      <c r="G119" s="973" t="s">
        <v>228</v>
      </c>
      <c r="H119" s="973" t="s">
        <v>1385</v>
      </c>
      <c r="I119" s="974">
        <v>657.79997042000002</v>
      </c>
      <c r="J119" s="974">
        <v>591.45722377000004</v>
      </c>
      <c r="K119" s="974">
        <v>190</v>
      </c>
      <c r="L119" s="124">
        <f t="shared" si="2"/>
        <v>0.8991444973649958</v>
      </c>
      <c r="M119" s="928">
        <f t="shared" si="3"/>
        <v>0.28884160617807042</v>
      </c>
    </row>
    <row r="120" spans="2:13" s="124" customFormat="1">
      <c r="B120" s="973">
        <v>5314</v>
      </c>
      <c r="C120" s="973">
        <v>9</v>
      </c>
      <c r="D120" s="973" t="s">
        <v>1599</v>
      </c>
      <c r="E120" s="973" t="s">
        <v>160</v>
      </c>
      <c r="F120" s="973" t="s">
        <v>1599</v>
      </c>
      <c r="G120" s="973" t="s">
        <v>200</v>
      </c>
      <c r="H120" s="973" t="s">
        <v>626</v>
      </c>
      <c r="I120" s="974">
        <v>622.46366593000005</v>
      </c>
      <c r="J120" s="974">
        <v>408.02341866</v>
      </c>
      <c r="K120" s="974">
        <v>133.59031659999999</v>
      </c>
      <c r="L120" s="124">
        <f t="shared" si="2"/>
        <v>0.65549756715580698</v>
      </c>
      <c r="M120" s="928">
        <f t="shared" si="3"/>
        <v>0.21461544490377221</v>
      </c>
    </row>
    <row r="121" spans="2:13" s="124" customFormat="1">
      <c r="B121" s="973">
        <v>5314</v>
      </c>
      <c r="C121" s="973">
        <v>10</v>
      </c>
      <c r="D121" s="973" t="s">
        <v>1600</v>
      </c>
      <c r="E121" s="973" t="s">
        <v>160</v>
      </c>
      <c r="F121" s="973" t="s">
        <v>1600</v>
      </c>
      <c r="G121" s="973" t="s">
        <v>220</v>
      </c>
      <c r="H121" s="973" t="s">
        <v>221</v>
      </c>
      <c r="I121" s="974">
        <v>597.86464975000001</v>
      </c>
      <c r="J121" s="974">
        <v>443.43232487</v>
      </c>
      <c r="K121" s="974">
        <v>50</v>
      </c>
      <c r="L121" s="124">
        <f t="shared" si="2"/>
        <v>0.74169350045269167</v>
      </c>
      <c r="M121" s="928">
        <f t="shared" si="3"/>
        <v>8.3630969017666021E-2</v>
      </c>
    </row>
    <row r="122" spans="2:13" s="124" customFormat="1">
      <c r="B122" s="973">
        <v>2801</v>
      </c>
      <c r="C122" s="973">
        <v>1</v>
      </c>
      <c r="D122" s="973" t="s">
        <v>1541</v>
      </c>
      <c r="E122" s="973" t="s">
        <v>148</v>
      </c>
      <c r="F122" s="973" t="s">
        <v>1541</v>
      </c>
      <c r="G122" s="973" t="s">
        <v>201</v>
      </c>
      <c r="H122" s="973" t="s">
        <v>1383</v>
      </c>
      <c r="I122" s="974">
        <v>1495.9826711999999</v>
      </c>
      <c r="J122" s="974">
        <v>548.96038280000005</v>
      </c>
      <c r="K122" s="974">
        <v>587.35171824999998</v>
      </c>
      <c r="L122" s="124">
        <f t="shared" si="2"/>
        <v>0.36695637815085946</v>
      </c>
      <c r="M122" s="928">
        <f t="shared" si="3"/>
        <v>0.39261933280206834</v>
      </c>
    </row>
    <row r="123" spans="2:13" s="124" customFormat="1">
      <c r="B123" s="973">
        <v>2801</v>
      </c>
      <c r="C123" s="973">
        <v>2</v>
      </c>
      <c r="D123" s="973" t="s">
        <v>1542</v>
      </c>
      <c r="E123" s="973" t="s">
        <v>148</v>
      </c>
      <c r="F123" s="973" t="s">
        <v>1542</v>
      </c>
      <c r="G123" s="973" t="s">
        <v>194</v>
      </c>
      <c r="H123" s="973" t="s">
        <v>621</v>
      </c>
      <c r="I123" s="974">
        <v>994.63366628000006</v>
      </c>
      <c r="J123" s="974"/>
      <c r="K123" s="974">
        <v>10</v>
      </c>
      <c r="L123" s="124">
        <f t="shared" si="2"/>
        <v>0</v>
      </c>
      <c r="M123" s="928">
        <f t="shared" si="3"/>
        <v>1.0053952866285638E-2</v>
      </c>
    </row>
    <row r="124" spans="2:13" s="124" customFormat="1">
      <c r="B124" s="973">
        <v>2801</v>
      </c>
      <c r="C124" s="973">
        <v>3</v>
      </c>
      <c r="D124" s="973" t="s">
        <v>1543</v>
      </c>
      <c r="E124" s="973" t="s">
        <v>148</v>
      </c>
      <c r="F124" s="973" t="s">
        <v>1543</v>
      </c>
      <c r="G124" s="973" t="s">
        <v>193</v>
      </c>
      <c r="H124" s="973" t="s">
        <v>620</v>
      </c>
      <c r="I124" s="974">
        <v>608.24395114000004</v>
      </c>
      <c r="J124" s="974">
        <v>362.41291109999997</v>
      </c>
      <c r="K124" s="974">
        <v>130.48375856000001</v>
      </c>
      <c r="L124" s="124">
        <f t="shared" si="2"/>
        <v>0.59583479691125296</v>
      </c>
      <c r="M124" s="928">
        <f t="shared" si="3"/>
        <v>0.21452536982150186</v>
      </c>
    </row>
    <row r="125" spans="2:13" s="124" customFormat="1">
      <c r="B125" s="973">
        <v>2801</v>
      </c>
      <c r="C125" s="973">
        <v>4</v>
      </c>
      <c r="D125" s="973" t="s">
        <v>1544</v>
      </c>
      <c r="E125" s="973" t="s">
        <v>148</v>
      </c>
      <c r="F125" s="973" t="s">
        <v>1544</v>
      </c>
      <c r="G125" s="973" t="s">
        <v>200</v>
      </c>
      <c r="H125" s="973" t="s">
        <v>626</v>
      </c>
      <c r="I125" s="974">
        <v>599.79284082000004</v>
      </c>
      <c r="J125" s="974">
        <v>539.92228154999998</v>
      </c>
      <c r="K125" s="974">
        <v>233.73172647999999</v>
      </c>
      <c r="L125" s="124">
        <f t="shared" si="2"/>
        <v>0.90018127060645026</v>
      </c>
      <c r="M125" s="928">
        <f t="shared" si="3"/>
        <v>0.38968742301167897</v>
      </c>
    </row>
    <row r="126" spans="2:13" s="124" customFormat="1">
      <c r="B126" s="973">
        <v>2801</v>
      </c>
      <c r="C126" s="973">
        <v>5</v>
      </c>
      <c r="D126" s="973" t="s">
        <v>1545</v>
      </c>
      <c r="E126" s="973" t="s">
        <v>148</v>
      </c>
      <c r="F126" s="973" t="s">
        <v>1545</v>
      </c>
      <c r="G126" s="973" t="s">
        <v>211</v>
      </c>
      <c r="H126" s="973" t="s">
        <v>212</v>
      </c>
      <c r="I126" s="974">
        <v>529</v>
      </c>
      <c r="J126" s="974"/>
      <c r="K126" s="974">
        <v>20</v>
      </c>
      <c r="L126" s="124">
        <f t="shared" si="2"/>
        <v>0</v>
      </c>
      <c r="M126" s="928">
        <f t="shared" si="3"/>
        <v>3.780718336483932E-2</v>
      </c>
    </row>
    <row r="127" spans="2:13" s="124" customFormat="1">
      <c r="B127" s="973">
        <v>2801</v>
      </c>
      <c r="C127" s="973">
        <v>6</v>
      </c>
      <c r="D127" s="973" t="s">
        <v>1546</v>
      </c>
      <c r="E127" s="973" t="s">
        <v>148</v>
      </c>
      <c r="F127" s="973" t="s">
        <v>1546</v>
      </c>
      <c r="G127" s="973" t="s">
        <v>189</v>
      </c>
      <c r="H127" s="973" t="s">
        <v>619</v>
      </c>
      <c r="I127" s="974">
        <v>506.18602485000002</v>
      </c>
      <c r="J127" s="974"/>
      <c r="K127" s="974">
        <v>215.38542369999999</v>
      </c>
      <c r="L127" s="124">
        <f t="shared" si="2"/>
        <v>0</v>
      </c>
      <c r="M127" s="928">
        <f t="shared" si="3"/>
        <v>0.42550646032518569</v>
      </c>
    </row>
    <row r="128" spans="2:13" s="124" customFormat="1">
      <c r="B128" s="973">
        <v>2801</v>
      </c>
      <c r="C128" s="973">
        <v>7</v>
      </c>
      <c r="D128" s="973" t="s">
        <v>1547</v>
      </c>
      <c r="E128" s="973" t="s">
        <v>148</v>
      </c>
      <c r="F128" s="973" t="s">
        <v>1547</v>
      </c>
      <c r="G128" s="973" t="s">
        <v>188</v>
      </c>
      <c r="H128" s="973" t="s">
        <v>618</v>
      </c>
      <c r="I128" s="974">
        <v>414.67609371999998</v>
      </c>
      <c r="J128" s="974">
        <v>50.785580068999998</v>
      </c>
      <c r="K128" s="974">
        <v>262.41688977000001</v>
      </c>
      <c r="L128" s="124">
        <f t="shared" si="2"/>
        <v>0.12247047958181002</v>
      </c>
      <c r="M128" s="928">
        <f t="shared" si="3"/>
        <v>0.63282377196113615</v>
      </c>
    </row>
    <row r="129" spans="2:13" s="124" customFormat="1">
      <c r="B129" s="973">
        <v>2801</v>
      </c>
      <c r="C129" s="973">
        <v>8</v>
      </c>
      <c r="D129" s="973" t="s">
        <v>1548</v>
      </c>
      <c r="E129" s="973" t="s">
        <v>148</v>
      </c>
      <c r="F129" s="973" t="s">
        <v>1548</v>
      </c>
      <c r="G129" s="973" t="s">
        <v>213</v>
      </c>
      <c r="H129" s="973" t="s">
        <v>214</v>
      </c>
      <c r="I129" s="974">
        <v>413.69353190999999</v>
      </c>
      <c r="J129" s="974">
        <v>120.02128481</v>
      </c>
      <c r="K129" s="974">
        <v>175.33382678000001</v>
      </c>
      <c r="L129" s="124">
        <f t="shared" si="2"/>
        <v>0.2901212505205687</v>
      </c>
      <c r="M129" s="928">
        <f t="shared" si="3"/>
        <v>0.42382540034042471</v>
      </c>
    </row>
    <row r="130" spans="2:13" s="124" customFormat="1">
      <c r="B130" s="973">
        <v>2801</v>
      </c>
      <c r="C130" s="973">
        <v>9</v>
      </c>
      <c r="D130" s="973" t="s">
        <v>1549</v>
      </c>
      <c r="E130" s="973" t="s">
        <v>148</v>
      </c>
      <c r="F130" s="973" t="s">
        <v>1549</v>
      </c>
      <c r="G130" s="973" t="s">
        <v>206</v>
      </c>
      <c r="H130" s="973" t="s">
        <v>629</v>
      </c>
      <c r="I130" s="974">
        <v>394.34511691</v>
      </c>
      <c r="J130" s="974">
        <v>85.181659964000005</v>
      </c>
      <c r="K130" s="974">
        <v>11.710802635</v>
      </c>
      <c r="L130" s="124">
        <f t="shared" ref="L130:L151" si="4">J130/$I130</f>
        <v>0.21600789844049398</v>
      </c>
      <c r="M130" s="928">
        <f t="shared" ref="M130:M151" si="5">K130/$I130</f>
        <v>2.9696836940097615E-2</v>
      </c>
    </row>
    <row r="131" spans="2:13" s="124" customFormat="1">
      <c r="B131" s="973">
        <v>2801</v>
      </c>
      <c r="C131" s="973">
        <v>10</v>
      </c>
      <c r="D131" s="973" t="s">
        <v>1550</v>
      </c>
      <c r="E131" s="973" t="s">
        <v>148</v>
      </c>
      <c r="F131" s="973" t="s">
        <v>1550</v>
      </c>
      <c r="G131" s="973" t="s">
        <v>209</v>
      </c>
      <c r="H131" s="973" t="s">
        <v>630</v>
      </c>
      <c r="I131" s="974">
        <v>388.06049560000002</v>
      </c>
      <c r="J131" s="974">
        <v>159.35883464</v>
      </c>
      <c r="K131" s="974">
        <v>5.8275833260000001</v>
      </c>
      <c r="L131" s="124">
        <f t="shared" si="4"/>
        <v>0.41065461815072729</v>
      </c>
      <c r="M131" s="928">
        <f t="shared" si="5"/>
        <v>1.501720322494996E-2</v>
      </c>
    </row>
    <row r="132" spans="2:13" s="124" customFormat="1">
      <c r="B132" s="973">
        <v>4441</v>
      </c>
      <c r="C132" s="973">
        <v>1</v>
      </c>
      <c r="D132" s="973" t="s">
        <v>1571</v>
      </c>
      <c r="E132" s="973" t="s">
        <v>154</v>
      </c>
      <c r="F132" s="973" t="s">
        <v>1571</v>
      </c>
      <c r="G132" s="973" t="s">
        <v>201</v>
      </c>
      <c r="H132" s="973" t="s">
        <v>1383</v>
      </c>
      <c r="I132" s="974">
        <v>1066.5996074</v>
      </c>
      <c r="J132" s="974">
        <v>494.24906981999999</v>
      </c>
      <c r="K132" s="974">
        <v>504.18289285999998</v>
      </c>
      <c r="L132" s="124">
        <f t="shared" si="4"/>
        <v>0.46338763523906396</v>
      </c>
      <c r="M132" s="928">
        <f t="shared" si="5"/>
        <v>0.47270117986356947</v>
      </c>
    </row>
    <row r="133" spans="2:13" s="124" customFormat="1">
      <c r="B133" s="973">
        <v>4441</v>
      </c>
      <c r="C133" s="973">
        <v>2</v>
      </c>
      <c r="D133" s="973" t="s">
        <v>1572</v>
      </c>
      <c r="E133" s="973" t="s">
        <v>154</v>
      </c>
      <c r="F133" s="973" t="s">
        <v>1572</v>
      </c>
      <c r="G133" s="973" t="s">
        <v>204</v>
      </c>
      <c r="H133" s="973" t="s">
        <v>1384</v>
      </c>
      <c r="I133" s="974">
        <v>971.05696081999997</v>
      </c>
      <c r="J133" s="974">
        <v>720.85995233000006</v>
      </c>
      <c r="K133" s="974">
        <v>5</v>
      </c>
      <c r="L133" s="124">
        <f t="shared" si="4"/>
        <v>0.7423456928018688</v>
      </c>
      <c r="M133" s="928">
        <f t="shared" si="5"/>
        <v>5.149028534616339E-3</v>
      </c>
    </row>
    <row r="134" spans="2:13" s="124" customFormat="1">
      <c r="B134" s="973">
        <v>4441</v>
      </c>
      <c r="C134" s="973">
        <v>3</v>
      </c>
      <c r="D134" s="973" t="s">
        <v>1573</v>
      </c>
      <c r="E134" s="973" t="s">
        <v>154</v>
      </c>
      <c r="F134" s="973" t="s">
        <v>1573</v>
      </c>
      <c r="G134" s="973" t="s">
        <v>188</v>
      </c>
      <c r="H134" s="973" t="s">
        <v>618</v>
      </c>
      <c r="I134" s="974">
        <v>897.14008822000005</v>
      </c>
      <c r="J134" s="974">
        <v>248.77704216000001</v>
      </c>
      <c r="K134" s="974">
        <v>591.08976304999999</v>
      </c>
      <c r="L134" s="124">
        <f t="shared" si="4"/>
        <v>0.27730010666850724</v>
      </c>
      <c r="M134" s="928">
        <f t="shared" si="5"/>
        <v>0.6588600496303435</v>
      </c>
    </row>
    <row r="135" spans="2:13" s="124" customFormat="1">
      <c r="B135" s="973">
        <v>4441</v>
      </c>
      <c r="C135" s="973">
        <v>4</v>
      </c>
      <c r="D135" s="973" t="s">
        <v>1574</v>
      </c>
      <c r="E135" s="973" t="s">
        <v>154</v>
      </c>
      <c r="F135" s="973" t="s">
        <v>1574</v>
      </c>
      <c r="G135" s="973" t="s">
        <v>200</v>
      </c>
      <c r="H135" s="973" t="s">
        <v>626</v>
      </c>
      <c r="I135" s="974">
        <v>804.73911579000003</v>
      </c>
      <c r="J135" s="974">
        <v>471.76588779999997</v>
      </c>
      <c r="K135" s="974">
        <v>417.80138248999998</v>
      </c>
      <c r="L135" s="124">
        <f t="shared" si="4"/>
        <v>0.58623456787840444</v>
      </c>
      <c r="M135" s="928">
        <f t="shared" si="5"/>
        <v>0.51917618305387181</v>
      </c>
    </row>
    <row r="136" spans="2:13" s="124" customFormat="1">
      <c r="B136" s="973">
        <v>4441</v>
      </c>
      <c r="C136" s="973">
        <v>5</v>
      </c>
      <c r="D136" s="973" t="s">
        <v>1575</v>
      </c>
      <c r="E136" s="973" t="s">
        <v>154</v>
      </c>
      <c r="F136" s="973" t="s">
        <v>1575</v>
      </c>
      <c r="G136" s="973" t="s">
        <v>193</v>
      </c>
      <c r="H136" s="973" t="s">
        <v>620</v>
      </c>
      <c r="I136" s="974">
        <v>607.43759130000001</v>
      </c>
      <c r="J136" s="974">
        <v>577.06362247000004</v>
      </c>
      <c r="K136" s="974">
        <v>78.598481257000003</v>
      </c>
      <c r="L136" s="124">
        <f t="shared" si="4"/>
        <v>0.94999656052732018</v>
      </c>
      <c r="M136" s="928">
        <f t="shared" si="5"/>
        <v>0.12939350870397803</v>
      </c>
    </row>
    <row r="137" spans="2:13" s="124" customFormat="1">
      <c r="B137" s="973">
        <v>4441</v>
      </c>
      <c r="C137" s="973">
        <v>6</v>
      </c>
      <c r="D137" s="973" t="s">
        <v>1576</v>
      </c>
      <c r="E137" s="973" t="s">
        <v>154</v>
      </c>
      <c r="F137" s="973" t="s">
        <v>1576</v>
      </c>
      <c r="G137" s="973" t="s">
        <v>185</v>
      </c>
      <c r="H137" s="973" t="s">
        <v>617</v>
      </c>
      <c r="I137" s="974">
        <v>570.78047229000003</v>
      </c>
      <c r="J137" s="974">
        <v>293.06173281999997</v>
      </c>
      <c r="K137" s="974">
        <v>110.71320240999999</v>
      </c>
      <c r="L137" s="124">
        <f t="shared" si="4"/>
        <v>0.51344036288456318</v>
      </c>
      <c r="M137" s="928">
        <f t="shared" si="5"/>
        <v>0.19396809769229323</v>
      </c>
    </row>
    <row r="138" spans="2:13" s="124" customFormat="1">
      <c r="B138" s="973">
        <v>4441</v>
      </c>
      <c r="C138" s="973">
        <v>7</v>
      </c>
      <c r="D138" s="973" t="s">
        <v>1577</v>
      </c>
      <c r="E138" s="973" t="s">
        <v>154</v>
      </c>
      <c r="F138" s="973" t="s">
        <v>1577</v>
      </c>
      <c r="G138" s="973" t="s">
        <v>205</v>
      </c>
      <c r="H138" s="973" t="s">
        <v>628</v>
      </c>
      <c r="I138" s="974">
        <v>532.69894867000005</v>
      </c>
      <c r="J138" s="974">
        <v>125.65284283</v>
      </c>
      <c r="K138" s="974">
        <v>134.66605833</v>
      </c>
      <c r="L138" s="124">
        <f t="shared" si="4"/>
        <v>0.23587965236972952</v>
      </c>
      <c r="M138" s="928">
        <f t="shared" si="5"/>
        <v>0.25279955717243935</v>
      </c>
    </row>
    <row r="139" spans="2:13" s="124" customFormat="1">
      <c r="B139" s="973">
        <v>4441</v>
      </c>
      <c r="C139" s="973">
        <v>8</v>
      </c>
      <c r="D139" s="973" t="s">
        <v>1578</v>
      </c>
      <c r="E139" s="973" t="s">
        <v>154</v>
      </c>
      <c r="F139" s="973" t="s">
        <v>1578</v>
      </c>
      <c r="G139" s="973" t="s">
        <v>223</v>
      </c>
      <c r="H139" s="973" t="s">
        <v>633</v>
      </c>
      <c r="I139" s="974">
        <v>509.58800609999997</v>
      </c>
      <c r="J139" s="974">
        <v>412.67698123000002</v>
      </c>
      <c r="K139" s="974"/>
      <c r="L139" s="124">
        <f t="shared" si="4"/>
        <v>0.80982475311441604</v>
      </c>
      <c r="M139" s="928">
        <f t="shared" si="5"/>
        <v>0</v>
      </c>
    </row>
    <row r="140" spans="2:13" s="124" customFormat="1">
      <c r="B140" s="973">
        <v>4441</v>
      </c>
      <c r="C140" s="973">
        <v>9</v>
      </c>
      <c r="D140" s="973" t="s">
        <v>1579</v>
      </c>
      <c r="E140" s="973" t="s">
        <v>154</v>
      </c>
      <c r="F140" s="973" t="s">
        <v>1579</v>
      </c>
      <c r="G140" s="973" t="s">
        <v>196</v>
      </c>
      <c r="H140" s="973" t="s">
        <v>623</v>
      </c>
      <c r="I140" s="974">
        <v>497.70550873000002</v>
      </c>
      <c r="J140" s="974">
        <v>193.40924998</v>
      </c>
      <c r="K140" s="974">
        <v>269.73379204000003</v>
      </c>
      <c r="L140" s="124">
        <f t="shared" si="4"/>
        <v>0.38860178677452106</v>
      </c>
      <c r="M140" s="928">
        <f t="shared" si="5"/>
        <v>0.5419546042965897</v>
      </c>
    </row>
    <row r="141" spans="2:13" s="124" customFormat="1">
      <c r="B141" s="973">
        <v>4441</v>
      </c>
      <c r="C141" s="973">
        <v>10</v>
      </c>
      <c r="D141" s="973" t="s">
        <v>1580</v>
      </c>
      <c r="E141" s="973" t="s">
        <v>154</v>
      </c>
      <c r="F141" s="973" t="s">
        <v>1580</v>
      </c>
      <c r="G141" s="973" t="s">
        <v>184</v>
      </c>
      <c r="H141" s="973" t="s">
        <v>616</v>
      </c>
      <c r="I141" s="974">
        <v>461.66896320000001</v>
      </c>
      <c r="J141" s="974">
        <v>343.32273558999998</v>
      </c>
      <c r="K141" s="974">
        <v>233.25238482</v>
      </c>
      <c r="L141" s="124">
        <f t="shared" si="4"/>
        <v>0.74365565579782944</v>
      </c>
      <c r="M141" s="928">
        <f t="shared" si="5"/>
        <v>0.50523730944190104</v>
      </c>
    </row>
    <row r="142" spans="2:13" s="124" customFormat="1">
      <c r="B142" s="973">
        <v>7617</v>
      </c>
      <c r="C142" s="973">
        <v>1</v>
      </c>
      <c r="D142" s="973" t="s">
        <v>1611</v>
      </c>
      <c r="E142" s="973" t="s">
        <v>162</v>
      </c>
      <c r="F142" s="973" t="s">
        <v>1611</v>
      </c>
      <c r="G142" s="973" t="s">
        <v>227</v>
      </c>
      <c r="H142" s="973" t="s">
        <v>634</v>
      </c>
      <c r="I142" s="974">
        <v>2021.8138199</v>
      </c>
      <c r="J142" s="974">
        <v>1102.5748947</v>
      </c>
      <c r="K142" s="974">
        <v>120</v>
      </c>
      <c r="L142" s="124">
        <f t="shared" si="4"/>
        <v>0.54533947876295252</v>
      </c>
      <c r="M142" s="928">
        <f t="shared" si="5"/>
        <v>5.9352646034408485E-2</v>
      </c>
    </row>
    <row r="143" spans="2:13" s="124" customFormat="1">
      <c r="B143" s="973">
        <v>7617</v>
      </c>
      <c r="C143" s="973">
        <v>2</v>
      </c>
      <c r="D143" s="973" t="s">
        <v>1612</v>
      </c>
      <c r="E143" s="973" t="s">
        <v>162</v>
      </c>
      <c r="F143" s="973" t="s">
        <v>1612</v>
      </c>
      <c r="G143" s="973" t="s">
        <v>201</v>
      </c>
      <c r="H143" s="973" t="s">
        <v>1383</v>
      </c>
      <c r="I143" s="974">
        <v>1862.5829286999999</v>
      </c>
      <c r="J143" s="974">
        <v>335.34477181</v>
      </c>
      <c r="K143" s="974">
        <v>621.39595998000004</v>
      </c>
      <c r="L143" s="124">
        <f t="shared" si="4"/>
        <v>0.18004286769881206</v>
      </c>
      <c r="M143" s="928">
        <f t="shared" si="5"/>
        <v>0.33362056013994867</v>
      </c>
    </row>
    <row r="144" spans="2:13" s="124" customFormat="1">
      <c r="B144" s="973">
        <v>7617</v>
      </c>
      <c r="C144" s="973">
        <v>3</v>
      </c>
      <c r="D144" s="973" t="s">
        <v>1613</v>
      </c>
      <c r="E144" s="973" t="s">
        <v>162</v>
      </c>
      <c r="F144" s="973" t="s">
        <v>1613</v>
      </c>
      <c r="G144" s="973" t="s">
        <v>193</v>
      </c>
      <c r="H144" s="973" t="s">
        <v>620</v>
      </c>
      <c r="I144" s="974">
        <v>1631.9267875</v>
      </c>
      <c r="J144" s="974">
        <v>1235.471667</v>
      </c>
      <c r="K144" s="974">
        <v>323.41895031000001</v>
      </c>
      <c r="L144" s="124">
        <f t="shared" si="4"/>
        <v>0.7570631700290047</v>
      </c>
      <c r="M144" s="928">
        <f t="shared" si="5"/>
        <v>0.19818226699094491</v>
      </c>
    </row>
    <row r="145" spans="2:13" s="124" customFormat="1">
      <c r="B145" s="973">
        <v>7617</v>
      </c>
      <c r="C145" s="973">
        <v>4</v>
      </c>
      <c r="D145" s="973" t="s">
        <v>1614</v>
      </c>
      <c r="E145" s="973" t="s">
        <v>162</v>
      </c>
      <c r="F145" s="973" t="s">
        <v>1614</v>
      </c>
      <c r="G145" s="973" t="s">
        <v>194</v>
      </c>
      <c r="H145" s="973" t="s">
        <v>621</v>
      </c>
      <c r="I145" s="974">
        <v>1527.4977822000001</v>
      </c>
      <c r="J145" s="974">
        <v>184.62190268000001</v>
      </c>
      <c r="K145" s="974">
        <v>126.2054686</v>
      </c>
      <c r="L145" s="124">
        <f t="shared" si="4"/>
        <v>0.12086557822303069</v>
      </c>
      <c r="M145" s="928">
        <f t="shared" si="5"/>
        <v>8.2622357996638668E-2</v>
      </c>
    </row>
    <row r="146" spans="2:13" s="124" customFormat="1">
      <c r="B146" s="973">
        <v>7617</v>
      </c>
      <c r="C146" s="973">
        <v>5</v>
      </c>
      <c r="D146" s="973" t="s">
        <v>1615</v>
      </c>
      <c r="E146" s="973" t="s">
        <v>162</v>
      </c>
      <c r="F146" s="973" t="s">
        <v>1615</v>
      </c>
      <c r="G146" s="973" t="s">
        <v>188</v>
      </c>
      <c r="H146" s="973" t="s">
        <v>618</v>
      </c>
      <c r="I146" s="974">
        <v>1303.0742241</v>
      </c>
      <c r="J146" s="974">
        <v>619.02089490000003</v>
      </c>
      <c r="K146" s="974">
        <v>719.76282856</v>
      </c>
      <c r="L146" s="124">
        <f t="shared" si="4"/>
        <v>0.47504653491825599</v>
      </c>
      <c r="M146" s="928">
        <f t="shared" si="5"/>
        <v>0.55235750600248557</v>
      </c>
    </row>
    <row r="147" spans="2:13" s="124" customFormat="1">
      <c r="B147" s="973">
        <v>7617</v>
      </c>
      <c r="C147" s="973">
        <v>6</v>
      </c>
      <c r="D147" s="973" t="s">
        <v>1616</v>
      </c>
      <c r="E147" s="973" t="s">
        <v>162</v>
      </c>
      <c r="F147" s="973" t="s">
        <v>1616</v>
      </c>
      <c r="G147" s="973" t="s">
        <v>199</v>
      </c>
      <c r="H147" s="973" t="s">
        <v>1652</v>
      </c>
      <c r="I147" s="974">
        <v>1244.6267402999999</v>
      </c>
      <c r="J147" s="974">
        <v>337.17997108999998</v>
      </c>
      <c r="K147" s="974">
        <v>756.76113097999996</v>
      </c>
      <c r="L147" s="124">
        <f t="shared" si="4"/>
        <v>0.27090850627934238</v>
      </c>
      <c r="M147" s="928">
        <f t="shared" si="5"/>
        <v>0.6080225552582883</v>
      </c>
    </row>
    <row r="148" spans="2:13" s="124" customFormat="1">
      <c r="B148" s="973">
        <v>7617</v>
      </c>
      <c r="C148" s="973">
        <v>7</v>
      </c>
      <c r="D148" s="973" t="s">
        <v>1617</v>
      </c>
      <c r="E148" s="973" t="s">
        <v>162</v>
      </c>
      <c r="F148" s="973" t="s">
        <v>1617</v>
      </c>
      <c r="G148" s="973" t="s">
        <v>185</v>
      </c>
      <c r="H148" s="973" t="s">
        <v>617</v>
      </c>
      <c r="I148" s="974">
        <v>1215.1425380999999</v>
      </c>
      <c r="J148" s="974">
        <v>485.68529766</v>
      </c>
      <c r="K148" s="974">
        <v>243.10641691000001</v>
      </c>
      <c r="L148" s="124">
        <f t="shared" si="4"/>
        <v>0.39969409549222007</v>
      </c>
      <c r="M148" s="928">
        <f t="shared" si="5"/>
        <v>0.20006411535071586</v>
      </c>
    </row>
    <row r="149" spans="2:13" s="124" customFormat="1">
      <c r="B149" s="973">
        <v>7617</v>
      </c>
      <c r="C149" s="973">
        <v>8</v>
      </c>
      <c r="D149" s="973" t="s">
        <v>1618</v>
      </c>
      <c r="E149" s="973" t="s">
        <v>162</v>
      </c>
      <c r="F149" s="973" t="s">
        <v>1618</v>
      </c>
      <c r="G149" s="973" t="s">
        <v>189</v>
      </c>
      <c r="H149" s="973" t="s">
        <v>619</v>
      </c>
      <c r="I149" s="974">
        <v>1103.1463917999999</v>
      </c>
      <c r="J149" s="974">
        <v>81.846807460999997</v>
      </c>
      <c r="K149" s="974">
        <v>651.33601707000003</v>
      </c>
      <c r="L149" s="124">
        <f t="shared" si="4"/>
        <v>7.4193967427524155E-2</v>
      </c>
      <c r="M149" s="928">
        <f t="shared" si="5"/>
        <v>0.59043479805723464</v>
      </c>
    </row>
    <row r="150" spans="2:13" s="124" customFormat="1">
      <c r="B150" s="973">
        <v>7617</v>
      </c>
      <c r="C150" s="973">
        <v>9</v>
      </c>
      <c r="D150" s="973" t="s">
        <v>1619</v>
      </c>
      <c r="E150" s="973" t="s">
        <v>162</v>
      </c>
      <c r="F150" s="973" t="s">
        <v>1619</v>
      </c>
      <c r="G150" s="973" t="s">
        <v>197</v>
      </c>
      <c r="H150" s="973" t="s">
        <v>624</v>
      </c>
      <c r="I150" s="974">
        <v>1010.7302486999999</v>
      </c>
      <c r="J150" s="974">
        <v>214.69259054</v>
      </c>
      <c r="K150" s="974">
        <v>430.37829951999998</v>
      </c>
      <c r="L150" s="124">
        <f t="shared" si="4"/>
        <v>0.21241334254726951</v>
      </c>
      <c r="M150" s="928">
        <f t="shared" si="5"/>
        <v>0.42580926025866156</v>
      </c>
    </row>
    <row r="151" spans="2:13" s="124" customFormat="1">
      <c r="B151" s="973">
        <v>7617</v>
      </c>
      <c r="C151" s="973">
        <v>10</v>
      </c>
      <c r="D151" s="973" t="s">
        <v>1620</v>
      </c>
      <c r="E151" s="973" t="s">
        <v>162</v>
      </c>
      <c r="F151" s="973" t="s">
        <v>1620</v>
      </c>
      <c r="G151" s="973" t="s">
        <v>184</v>
      </c>
      <c r="H151" s="973" t="s">
        <v>616</v>
      </c>
      <c r="I151" s="974">
        <v>982.62123960999998</v>
      </c>
      <c r="J151" s="974">
        <v>465.52335432000001</v>
      </c>
      <c r="K151" s="974">
        <v>326.54866199000003</v>
      </c>
      <c r="L151" s="124">
        <f t="shared" si="4"/>
        <v>0.47375665775834963</v>
      </c>
      <c r="M151" s="928">
        <f t="shared" si="5"/>
        <v>0.33232404188576914</v>
      </c>
    </row>
  </sheetData>
  <autoFilter ref="B1:M151" xr:uid="{00000000-0009-0000-0000-000006000000}">
    <sortState ref="B2:M2474">
      <sortCondition ref="C1:C2474"/>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38"/>
  <sheetViews>
    <sheetView zoomScaleNormal="100" workbookViewId="0">
      <pane xSplit="2" ySplit="5" topLeftCell="C60" activePane="bottomRight" state="frozen"/>
      <selection activeCell="J38" sqref="J38"/>
      <selection pane="topRight" activeCell="J38" sqref="J38"/>
      <selection pane="bottomLeft" activeCell="J38" sqref="J38"/>
      <selection pane="bottomRight" activeCell="L137" sqref="L137"/>
    </sheetView>
  </sheetViews>
  <sheetFormatPr baseColWidth="10" defaultRowHeight="15"/>
  <cols>
    <col min="1" max="1" width="11.42578125" style="9"/>
    <col min="2" max="2" width="28.28515625" style="9" customWidth="1"/>
    <col min="3" max="18" width="11.42578125" style="9" customWidth="1"/>
    <col min="19" max="16384" width="11.42578125" style="9"/>
  </cols>
  <sheetData>
    <row r="1" spans="1:26">
      <c r="Z1" s="9">
        <v>223808</v>
      </c>
    </row>
    <row r="2" spans="1:26" s="80" customFormat="1"/>
    <row r="3" spans="1:26" s="81" customFormat="1">
      <c r="A3" s="83" t="s">
        <v>1716</v>
      </c>
    </row>
    <row r="4" spans="1:26">
      <c r="A4" s="387" t="s">
        <v>1717</v>
      </c>
      <c r="Z4" s="9">
        <v>177545</v>
      </c>
    </row>
    <row r="5" spans="1:26" s="67" customFormat="1" ht="90">
      <c r="A5" s="66" t="s">
        <v>251</v>
      </c>
      <c r="B5" s="66" t="s">
        <v>252</v>
      </c>
      <c r="C5" s="68" t="s">
        <v>710</v>
      </c>
      <c r="D5" s="70" t="s">
        <v>711</v>
      </c>
      <c r="E5" s="70" t="s">
        <v>712</v>
      </c>
      <c r="F5" s="70" t="s">
        <v>713</v>
      </c>
      <c r="G5" s="70" t="s">
        <v>714</v>
      </c>
      <c r="H5" s="70" t="s">
        <v>715</v>
      </c>
      <c r="I5" s="70" t="s">
        <v>716</v>
      </c>
      <c r="J5" s="70" t="s">
        <v>717</v>
      </c>
      <c r="K5" s="70" t="s">
        <v>718</v>
      </c>
      <c r="L5" s="724" t="s">
        <v>710</v>
      </c>
      <c r="M5" s="724" t="s">
        <v>719</v>
      </c>
      <c r="N5" s="724" t="s">
        <v>720</v>
      </c>
      <c r="O5" s="679" t="s">
        <v>721</v>
      </c>
      <c r="P5" s="726" t="s">
        <v>722</v>
      </c>
      <c r="Q5" s="679" t="s">
        <v>729</v>
      </c>
      <c r="R5" s="679" t="s">
        <v>1195</v>
      </c>
      <c r="S5" s="679" t="s">
        <v>723</v>
      </c>
      <c r="T5" s="679" t="s">
        <v>724</v>
      </c>
      <c r="U5" s="679" t="s">
        <v>725</v>
      </c>
      <c r="V5" s="679" t="s">
        <v>726</v>
      </c>
      <c r="W5" s="679" t="s">
        <v>727</v>
      </c>
      <c r="X5" s="679" t="s">
        <v>731</v>
      </c>
      <c r="Y5" s="679" t="s">
        <v>728</v>
      </c>
    </row>
    <row r="6" spans="1:26">
      <c r="A6" s="71" t="s">
        <v>88</v>
      </c>
      <c r="B6" s="72" t="s">
        <v>89</v>
      </c>
      <c r="C6" s="73">
        <v>61214</v>
      </c>
      <c r="D6" s="74">
        <v>37327</v>
      </c>
      <c r="E6" s="74">
        <v>23887</v>
      </c>
      <c r="F6" s="74">
        <v>1174</v>
      </c>
      <c r="G6" s="74">
        <v>14</v>
      </c>
      <c r="H6" s="74">
        <v>107799</v>
      </c>
      <c r="I6" s="74">
        <v>52155</v>
      </c>
      <c r="J6" s="74">
        <v>40213</v>
      </c>
      <c r="K6" s="74">
        <v>622</v>
      </c>
      <c r="L6" s="725">
        <v>61214</v>
      </c>
      <c r="M6" s="725">
        <v>4316</v>
      </c>
      <c r="N6" s="725">
        <v>3483</v>
      </c>
      <c r="O6" s="725">
        <v>7680</v>
      </c>
      <c r="P6" s="727">
        <v>38097</v>
      </c>
      <c r="Q6" s="725">
        <v>26744</v>
      </c>
      <c r="R6" s="725">
        <v>11353</v>
      </c>
      <c r="S6" s="725">
        <v>7638</v>
      </c>
      <c r="T6" s="725">
        <v>44387</v>
      </c>
      <c r="U6" s="725">
        <v>13843</v>
      </c>
      <c r="V6" s="725">
        <v>2473</v>
      </c>
      <c r="W6" s="725">
        <v>449</v>
      </c>
      <c r="X6" s="725">
        <v>49</v>
      </c>
      <c r="Y6" s="725">
        <v>13</v>
      </c>
    </row>
    <row r="7" spans="1:26">
      <c r="A7" s="71" t="s">
        <v>5</v>
      </c>
      <c r="B7" s="72" t="s">
        <v>6</v>
      </c>
      <c r="C7" s="73">
        <v>138426</v>
      </c>
      <c r="D7" s="74">
        <v>83093</v>
      </c>
      <c r="E7" s="74">
        <v>55333</v>
      </c>
      <c r="F7" s="74">
        <v>2775</v>
      </c>
      <c r="G7" s="74">
        <v>48</v>
      </c>
      <c r="H7" s="74">
        <v>316760</v>
      </c>
      <c r="I7" s="74">
        <v>160120</v>
      </c>
      <c r="J7" s="74">
        <v>113787</v>
      </c>
      <c r="K7" s="74">
        <v>2976</v>
      </c>
      <c r="L7" s="725">
        <v>138426</v>
      </c>
      <c r="M7" s="725">
        <v>5719</v>
      </c>
      <c r="N7" s="725">
        <v>6542</v>
      </c>
      <c r="O7" s="725">
        <v>15536</v>
      </c>
      <c r="P7" s="727">
        <v>90020</v>
      </c>
      <c r="Q7" s="725">
        <v>66892</v>
      </c>
      <c r="R7" s="725">
        <v>23128</v>
      </c>
      <c r="S7" s="725">
        <v>20609</v>
      </c>
      <c r="T7" s="725">
        <v>100251</v>
      </c>
      <c r="U7" s="725">
        <v>30170</v>
      </c>
      <c r="V7" s="725">
        <v>6477</v>
      </c>
      <c r="W7" s="725">
        <v>1289</v>
      </c>
      <c r="X7" s="725">
        <v>166</v>
      </c>
      <c r="Y7" s="725">
        <v>73</v>
      </c>
    </row>
    <row r="8" spans="1:26">
      <c r="A8" s="71" t="s">
        <v>87</v>
      </c>
      <c r="B8" s="72" t="s">
        <v>1076</v>
      </c>
      <c r="C8" s="73">
        <v>17681</v>
      </c>
      <c r="D8" s="74">
        <v>12698</v>
      </c>
      <c r="E8" s="74">
        <v>4983</v>
      </c>
      <c r="F8" s="74">
        <v>676</v>
      </c>
      <c r="G8" s="74">
        <v>2</v>
      </c>
      <c r="H8" s="74">
        <v>68535</v>
      </c>
      <c r="I8" s="74">
        <v>29384</v>
      </c>
      <c r="J8" s="74">
        <v>22935</v>
      </c>
      <c r="K8" s="74">
        <v>2</v>
      </c>
      <c r="L8" s="725">
        <v>17681</v>
      </c>
      <c r="M8" s="725">
        <v>197</v>
      </c>
      <c r="N8" s="725">
        <v>869</v>
      </c>
      <c r="O8" s="725">
        <v>1880</v>
      </c>
      <c r="P8" s="727">
        <v>11491</v>
      </c>
      <c r="Q8" s="725">
        <v>7442</v>
      </c>
      <c r="R8" s="725">
        <v>4049</v>
      </c>
      <c r="S8" s="725">
        <v>3244</v>
      </c>
      <c r="T8" s="725">
        <v>11609</v>
      </c>
      <c r="U8" s="725">
        <v>4393</v>
      </c>
      <c r="V8" s="725">
        <v>1278</v>
      </c>
      <c r="W8" s="725">
        <v>340</v>
      </c>
      <c r="X8" s="725">
        <v>50</v>
      </c>
      <c r="Y8" s="725">
        <v>11</v>
      </c>
    </row>
    <row r="9" spans="1:26">
      <c r="A9" s="71" t="s">
        <v>7</v>
      </c>
      <c r="B9" s="72" t="s">
        <v>8</v>
      </c>
      <c r="C9" s="73">
        <v>82140</v>
      </c>
      <c r="D9" s="74">
        <v>51639</v>
      </c>
      <c r="E9" s="74">
        <v>30501</v>
      </c>
      <c r="F9" s="74">
        <v>2462</v>
      </c>
      <c r="G9" s="74">
        <v>34</v>
      </c>
      <c r="H9" s="74">
        <v>184884</v>
      </c>
      <c r="I9" s="74">
        <v>116190</v>
      </c>
      <c r="J9" s="74">
        <v>76289</v>
      </c>
      <c r="K9" s="74">
        <v>2838</v>
      </c>
      <c r="L9" s="725">
        <v>82140</v>
      </c>
      <c r="M9" s="725">
        <v>2454</v>
      </c>
      <c r="N9" s="725">
        <v>4643</v>
      </c>
      <c r="O9" s="725">
        <v>8994</v>
      </c>
      <c r="P9" s="727">
        <v>51635</v>
      </c>
      <c r="Q9" s="725">
        <v>39918</v>
      </c>
      <c r="R9" s="725">
        <v>11717</v>
      </c>
      <c r="S9" s="725">
        <v>14414</v>
      </c>
      <c r="T9" s="725">
        <v>58829</v>
      </c>
      <c r="U9" s="725">
        <v>18390</v>
      </c>
      <c r="V9" s="725">
        <v>3960</v>
      </c>
      <c r="W9" s="725">
        <v>796</v>
      </c>
      <c r="X9" s="725">
        <v>115</v>
      </c>
      <c r="Y9" s="725">
        <v>50</v>
      </c>
    </row>
    <row r="10" spans="1:26">
      <c r="A10" s="71" t="s">
        <v>9</v>
      </c>
      <c r="B10" s="72" t="s">
        <v>10</v>
      </c>
      <c r="C10" s="73">
        <v>73728</v>
      </c>
      <c r="D10" s="74">
        <v>43235</v>
      </c>
      <c r="E10" s="74">
        <v>30493</v>
      </c>
      <c r="F10" s="74">
        <v>1796</v>
      </c>
      <c r="G10" s="74">
        <v>31</v>
      </c>
      <c r="H10" s="74">
        <v>256896</v>
      </c>
      <c r="I10" s="74">
        <v>120758</v>
      </c>
      <c r="J10" s="74">
        <v>100531</v>
      </c>
      <c r="K10" s="74">
        <v>1373</v>
      </c>
      <c r="L10" s="725">
        <v>73728</v>
      </c>
      <c r="M10" s="725">
        <v>760</v>
      </c>
      <c r="N10" s="725">
        <v>2797</v>
      </c>
      <c r="O10" s="725">
        <v>6800</v>
      </c>
      <c r="P10" s="727">
        <v>51125</v>
      </c>
      <c r="Q10" s="725">
        <v>39091</v>
      </c>
      <c r="R10" s="725">
        <v>12034</v>
      </c>
      <c r="S10" s="725">
        <v>12246</v>
      </c>
      <c r="T10" s="725">
        <v>52681</v>
      </c>
      <c r="U10" s="725">
        <v>15538</v>
      </c>
      <c r="V10" s="725">
        <v>4224</v>
      </c>
      <c r="W10" s="725">
        <v>1027</v>
      </c>
      <c r="X10" s="725">
        <v>182</v>
      </c>
      <c r="Y10" s="725">
        <v>76</v>
      </c>
    </row>
    <row r="11" spans="1:26">
      <c r="A11" s="75" t="s">
        <v>11</v>
      </c>
      <c r="B11" s="72" t="s">
        <v>12</v>
      </c>
      <c r="C11" s="73">
        <v>195243</v>
      </c>
      <c r="D11" s="74">
        <v>110220</v>
      </c>
      <c r="E11" s="74">
        <v>85023</v>
      </c>
      <c r="F11" s="74">
        <v>3137</v>
      </c>
      <c r="G11" s="74">
        <v>68</v>
      </c>
      <c r="H11" s="74">
        <v>464714</v>
      </c>
      <c r="I11" s="74">
        <v>322835</v>
      </c>
      <c r="J11" s="74">
        <v>151966</v>
      </c>
      <c r="K11" s="74">
        <v>3554</v>
      </c>
      <c r="L11" s="725">
        <v>121476</v>
      </c>
      <c r="M11" s="725">
        <v>2805</v>
      </c>
      <c r="N11" s="725">
        <v>7383</v>
      </c>
      <c r="O11" s="725">
        <v>14009</v>
      </c>
      <c r="P11" s="727">
        <v>80934</v>
      </c>
      <c r="Q11" s="725">
        <v>59112</v>
      </c>
      <c r="R11" s="725">
        <v>21822</v>
      </c>
      <c r="S11" s="725">
        <v>16345</v>
      </c>
      <c r="T11" s="725">
        <v>85558</v>
      </c>
      <c r="U11" s="725">
        <v>27092</v>
      </c>
      <c r="V11" s="725">
        <v>7010</v>
      </c>
      <c r="W11" s="725">
        <v>1545</v>
      </c>
      <c r="X11" s="725">
        <v>215</v>
      </c>
      <c r="Y11" s="725">
        <v>56</v>
      </c>
      <c r="Z11" s="382"/>
    </row>
    <row r="12" spans="1:26">
      <c r="A12" s="75" t="s">
        <v>13</v>
      </c>
      <c r="B12" s="72" t="s">
        <v>54</v>
      </c>
      <c r="C12" s="73">
        <v>137321</v>
      </c>
      <c r="D12" s="74">
        <v>88339</v>
      </c>
      <c r="E12" s="74">
        <v>48982</v>
      </c>
      <c r="F12" s="74">
        <v>1985</v>
      </c>
      <c r="G12" s="74">
        <v>52</v>
      </c>
      <c r="H12" s="74">
        <v>331357</v>
      </c>
      <c r="I12" s="74">
        <v>143676</v>
      </c>
      <c r="J12" s="74">
        <v>113737</v>
      </c>
      <c r="K12" s="74">
        <v>4079</v>
      </c>
      <c r="L12" s="725">
        <v>49262</v>
      </c>
      <c r="M12" s="725">
        <v>938</v>
      </c>
      <c r="N12" s="725">
        <v>2857</v>
      </c>
      <c r="O12" s="725">
        <v>6220</v>
      </c>
      <c r="P12" s="727">
        <v>31835</v>
      </c>
      <c r="Q12" s="725">
        <v>22799</v>
      </c>
      <c r="R12" s="725">
        <v>9036</v>
      </c>
      <c r="S12" s="725">
        <v>7412</v>
      </c>
      <c r="T12" s="725">
        <v>35596</v>
      </c>
      <c r="U12" s="725">
        <v>10866</v>
      </c>
      <c r="V12" s="725">
        <v>2271</v>
      </c>
      <c r="W12" s="725">
        <v>458</v>
      </c>
      <c r="X12" s="725">
        <v>56</v>
      </c>
      <c r="Y12" s="725">
        <v>15</v>
      </c>
    </row>
    <row r="13" spans="1:26">
      <c r="A13" s="75" t="s">
        <v>14</v>
      </c>
      <c r="B13" s="72" t="s">
        <v>15</v>
      </c>
      <c r="C13" s="73">
        <v>84935</v>
      </c>
      <c r="D13" s="74">
        <v>52137</v>
      </c>
      <c r="E13" s="74">
        <v>32798</v>
      </c>
      <c r="F13" s="74">
        <v>1192</v>
      </c>
      <c r="G13" s="74">
        <v>59</v>
      </c>
      <c r="H13" s="74">
        <v>177281</v>
      </c>
      <c r="I13" s="74">
        <v>68473</v>
      </c>
      <c r="J13" s="74">
        <v>64833</v>
      </c>
      <c r="K13" s="74">
        <v>4127</v>
      </c>
      <c r="L13" s="725">
        <v>84935</v>
      </c>
      <c r="M13" s="725">
        <v>1887</v>
      </c>
      <c r="N13" s="725">
        <v>3814</v>
      </c>
      <c r="O13" s="725">
        <v>10446</v>
      </c>
      <c r="P13" s="727">
        <v>55395</v>
      </c>
      <c r="Q13" s="725">
        <v>42026</v>
      </c>
      <c r="R13" s="725">
        <v>13369</v>
      </c>
      <c r="S13" s="725">
        <v>13393</v>
      </c>
      <c r="T13" s="725">
        <v>63958</v>
      </c>
      <c r="U13" s="725">
        <v>16919</v>
      </c>
      <c r="V13" s="725">
        <v>3280</v>
      </c>
      <c r="W13" s="725">
        <v>649</v>
      </c>
      <c r="X13" s="725">
        <v>89</v>
      </c>
      <c r="Y13" s="725">
        <v>40</v>
      </c>
    </row>
    <row r="14" spans="1:26">
      <c r="A14" s="75" t="s">
        <v>16</v>
      </c>
      <c r="B14" s="72" t="s">
        <v>17</v>
      </c>
      <c r="C14" s="73">
        <v>97949</v>
      </c>
      <c r="D14" s="74">
        <v>55366</v>
      </c>
      <c r="E14" s="74">
        <v>42583</v>
      </c>
      <c r="F14" s="74">
        <v>2038</v>
      </c>
      <c r="G14" s="74">
        <v>28</v>
      </c>
      <c r="H14" s="74">
        <v>256276</v>
      </c>
      <c r="I14" s="74">
        <v>161363</v>
      </c>
      <c r="J14" s="74">
        <v>85706</v>
      </c>
      <c r="K14" s="74">
        <v>1524</v>
      </c>
      <c r="L14" s="725">
        <v>97949</v>
      </c>
      <c r="M14" s="725">
        <v>4429</v>
      </c>
      <c r="N14" s="725">
        <v>5303</v>
      </c>
      <c r="O14" s="725">
        <v>9113</v>
      </c>
      <c r="P14" s="727">
        <v>64926</v>
      </c>
      <c r="Q14" s="725">
        <v>50098</v>
      </c>
      <c r="R14" s="725">
        <v>14828</v>
      </c>
      <c r="S14" s="725">
        <v>14178</v>
      </c>
      <c r="T14" s="725">
        <v>69657</v>
      </c>
      <c r="U14" s="725">
        <v>21309</v>
      </c>
      <c r="V14" s="725">
        <v>5436</v>
      </c>
      <c r="W14" s="725">
        <v>1278</v>
      </c>
      <c r="X14" s="725">
        <v>206</v>
      </c>
      <c r="Y14" s="725">
        <v>63</v>
      </c>
    </row>
    <row r="15" spans="1:26">
      <c r="A15" s="75" t="s">
        <v>18</v>
      </c>
      <c r="B15" s="72" t="s">
        <v>19</v>
      </c>
      <c r="C15" s="73">
        <v>87360</v>
      </c>
      <c r="D15" s="74">
        <v>57783</v>
      </c>
      <c r="E15" s="74">
        <v>29577</v>
      </c>
      <c r="F15" s="74">
        <v>1156</v>
      </c>
      <c r="G15" s="74">
        <v>34</v>
      </c>
      <c r="H15" s="74">
        <v>165852</v>
      </c>
      <c r="I15" s="74">
        <v>46619</v>
      </c>
      <c r="J15" s="74">
        <v>56183</v>
      </c>
      <c r="K15" s="74">
        <v>566</v>
      </c>
      <c r="L15" s="725">
        <v>87360</v>
      </c>
      <c r="M15" s="725">
        <v>800</v>
      </c>
      <c r="N15" s="725">
        <v>3124</v>
      </c>
      <c r="O15" s="725">
        <v>11941</v>
      </c>
      <c r="P15" s="727">
        <v>59653</v>
      </c>
      <c r="Q15" s="725">
        <v>45708</v>
      </c>
      <c r="R15" s="725">
        <v>13945</v>
      </c>
      <c r="S15" s="725">
        <v>11842</v>
      </c>
      <c r="T15" s="725">
        <v>65211</v>
      </c>
      <c r="U15" s="725">
        <v>18597</v>
      </c>
      <c r="V15" s="725">
        <v>2988</v>
      </c>
      <c r="W15" s="725">
        <v>473</v>
      </c>
      <c r="X15" s="725">
        <v>59</v>
      </c>
      <c r="Y15" s="725">
        <v>32</v>
      </c>
    </row>
    <row r="16" spans="1:26">
      <c r="A16" s="75" t="s">
        <v>20</v>
      </c>
      <c r="B16" s="72" t="s">
        <v>21</v>
      </c>
      <c r="C16" s="73">
        <v>71415</v>
      </c>
      <c r="D16" s="74">
        <v>39209</v>
      </c>
      <c r="E16" s="74">
        <v>32206</v>
      </c>
      <c r="F16" s="74">
        <v>1839</v>
      </c>
      <c r="G16" s="74">
        <v>31</v>
      </c>
      <c r="H16" s="74">
        <v>189691</v>
      </c>
      <c r="I16" s="74">
        <v>110221</v>
      </c>
      <c r="J16" s="74">
        <v>73961</v>
      </c>
      <c r="K16" s="74">
        <v>2349</v>
      </c>
      <c r="L16" s="725">
        <v>71415</v>
      </c>
      <c r="M16" s="725">
        <v>5773</v>
      </c>
      <c r="N16" s="725">
        <v>3648</v>
      </c>
      <c r="O16" s="725">
        <v>5928</v>
      </c>
      <c r="P16" s="727">
        <v>45784</v>
      </c>
      <c r="Q16" s="725">
        <v>35972</v>
      </c>
      <c r="R16" s="725">
        <v>9812</v>
      </c>
      <c r="S16" s="725">
        <v>10282</v>
      </c>
      <c r="T16" s="725">
        <v>50671</v>
      </c>
      <c r="U16" s="725">
        <v>15642</v>
      </c>
      <c r="V16" s="725">
        <v>3993</v>
      </c>
      <c r="W16" s="725">
        <v>919</v>
      </c>
      <c r="X16" s="725">
        <v>145</v>
      </c>
      <c r="Y16" s="725">
        <v>45</v>
      </c>
    </row>
    <row r="17" spans="1:25">
      <c r="A17" s="75" t="s">
        <v>22</v>
      </c>
      <c r="B17" s="72" t="s">
        <v>23</v>
      </c>
      <c r="C17" s="73">
        <v>60997</v>
      </c>
      <c r="D17" s="74">
        <v>38798</v>
      </c>
      <c r="E17" s="74">
        <v>22199</v>
      </c>
      <c r="F17" s="74">
        <v>2767</v>
      </c>
      <c r="G17" s="74">
        <v>18</v>
      </c>
      <c r="H17" s="74">
        <v>192897</v>
      </c>
      <c r="I17" s="74">
        <v>92940</v>
      </c>
      <c r="J17" s="74">
        <v>78678</v>
      </c>
      <c r="K17" s="74">
        <v>406</v>
      </c>
      <c r="L17" s="725">
        <v>60997</v>
      </c>
      <c r="M17" s="725">
        <v>3100</v>
      </c>
      <c r="N17" s="725">
        <v>2995</v>
      </c>
      <c r="O17" s="725">
        <v>6184</v>
      </c>
      <c r="P17" s="727">
        <v>39370</v>
      </c>
      <c r="Q17" s="725">
        <v>28441</v>
      </c>
      <c r="R17" s="725">
        <v>10929</v>
      </c>
      <c r="S17" s="725">
        <v>9348</v>
      </c>
      <c r="T17" s="725">
        <v>40662</v>
      </c>
      <c r="U17" s="725">
        <v>15640</v>
      </c>
      <c r="V17" s="725">
        <v>3707</v>
      </c>
      <c r="W17" s="725">
        <v>827</v>
      </c>
      <c r="X17" s="725">
        <v>123</v>
      </c>
      <c r="Y17" s="725">
        <v>38</v>
      </c>
    </row>
    <row r="18" spans="1:25">
      <c r="A18" s="75" t="s">
        <v>24</v>
      </c>
      <c r="B18" s="72" t="s">
        <v>25</v>
      </c>
      <c r="C18" s="73">
        <v>58865</v>
      </c>
      <c r="D18" s="74">
        <v>35302</v>
      </c>
      <c r="E18" s="74">
        <v>23563</v>
      </c>
      <c r="F18" s="74">
        <v>1254</v>
      </c>
      <c r="G18" s="74">
        <v>35</v>
      </c>
      <c r="H18" s="74">
        <v>167499</v>
      </c>
      <c r="I18" s="74">
        <v>91325</v>
      </c>
      <c r="J18" s="74">
        <v>60517</v>
      </c>
      <c r="K18" s="74">
        <v>2141</v>
      </c>
      <c r="L18" s="725">
        <v>58865</v>
      </c>
      <c r="M18" s="725">
        <v>992</v>
      </c>
      <c r="N18" s="725">
        <v>2665</v>
      </c>
      <c r="O18" s="725">
        <v>4987</v>
      </c>
      <c r="P18" s="727">
        <v>41265</v>
      </c>
      <c r="Q18" s="725">
        <v>31213</v>
      </c>
      <c r="R18" s="725">
        <v>10052</v>
      </c>
      <c r="S18" s="725">
        <v>8956</v>
      </c>
      <c r="T18" s="725">
        <v>41015</v>
      </c>
      <c r="U18" s="725">
        <v>13885</v>
      </c>
      <c r="V18" s="725">
        <v>3136</v>
      </c>
      <c r="W18" s="725">
        <v>664</v>
      </c>
      <c r="X18" s="725">
        <v>128</v>
      </c>
      <c r="Y18" s="725">
        <v>37</v>
      </c>
    </row>
    <row r="19" spans="1:25">
      <c r="A19" s="75" t="s">
        <v>51</v>
      </c>
      <c r="B19" s="72" t="s">
        <v>55</v>
      </c>
      <c r="C19" s="73">
        <v>67330</v>
      </c>
      <c r="D19" s="74">
        <v>45743</v>
      </c>
      <c r="E19" s="74">
        <v>21587</v>
      </c>
      <c r="F19" s="74">
        <v>978</v>
      </c>
      <c r="G19" s="74">
        <v>13</v>
      </c>
      <c r="H19" s="74">
        <v>133418</v>
      </c>
      <c r="I19" s="74">
        <v>36046</v>
      </c>
      <c r="J19" s="74">
        <v>47888</v>
      </c>
      <c r="K19" s="74">
        <v>358</v>
      </c>
      <c r="L19" s="725">
        <v>67330</v>
      </c>
      <c r="M19" s="725">
        <v>1822</v>
      </c>
      <c r="N19" s="725">
        <v>3017</v>
      </c>
      <c r="O19" s="725">
        <v>8872</v>
      </c>
      <c r="P19" s="727">
        <v>43333</v>
      </c>
      <c r="Q19" s="725">
        <v>30832</v>
      </c>
      <c r="R19" s="725">
        <v>12501</v>
      </c>
      <c r="S19" s="725">
        <v>10286</v>
      </c>
      <c r="T19" s="725">
        <v>50014</v>
      </c>
      <c r="U19" s="725">
        <v>14378</v>
      </c>
      <c r="V19" s="725">
        <v>2396</v>
      </c>
      <c r="W19" s="725">
        <v>463</v>
      </c>
      <c r="X19" s="725">
        <v>55</v>
      </c>
      <c r="Y19" s="725">
        <v>24</v>
      </c>
    </row>
    <row r="20" spans="1:25">
      <c r="A20" s="75" t="s">
        <v>26</v>
      </c>
      <c r="B20" s="72" t="s">
        <v>27</v>
      </c>
      <c r="C20" s="73">
        <v>149095</v>
      </c>
      <c r="D20" s="74">
        <v>88785</v>
      </c>
      <c r="E20" s="74">
        <v>60310</v>
      </c>
      <c r="F20" s="74">
        <v>3456</v>
      </c>
      <c r="G20" s="74">
        <v>70</v>
      </c>
      <c r="H20" s="74">
        <v>337750</v>
      </c>
      <c r="I20" s="74">
        <v>216690</v>
      </c>
      <c r="J20" s="74">
        <v>123277</v>
      </c>
      <c r="K20" s="74">
        <v>5121</v>
      </c>
      <c r="L20" s="725">
        <v>149095</v>
      </c>
      <c r="M20" s="725">
        <v>6788</v>
      </c>
      <c r="N20" s="725">
        <v>7610</v>
      </c>
      <c r="O20" s="725">
        <v>17176</v>
      </c>
      <c r="P20" s="727">
        <v>93369</v>
      </c>
      <c r="Q20" s="725">
        <v>71780</v>
      </c>
      <c r="R20" s="725">
        <v>21589</v>
      </c>
      <c r="S20" s="725">
        <v>24152</v>
      </c>
      <c r="T20" s="725">
        <v>108582</v>
      </c>
      <c r="U20" s="725">
        <v>31925</v>
      </c>
      <c r="V20" s="725">
        <v>6815</v>
      </c>
      <c r="W20" s="725">
        <v>1454</v>
      </c>
      <c r="X20" s="725">
        <v>230</v>
      </c>
      <c r="Y20" s="725">
        <v>89</v>
      </c>
    </row>
    <row r="21" spans="1:25">
      <c r="A21" s="69" t="s">
        <v>28</v>
      </c>
      <c r="B21" s="75" t="s">
        <v>29</v>
      </c>
      <c r="C21" s="73">
        <v>239653</v>
      </c>
      <c r="D21" s="76">
        <v>135701</v>
      </c>
      <c r="E21" s="76">
        <v>103952</v>
      </c>
      <c r="F21" s="76">
        <v>4308</v>
      </c>
      <c r="G21" s="76">
        <v>73</v>
      </c>
      <c r="H21" s="76">
        <v>533716</v>
      </c>
      <c r="I21" s="76">
        <v>379881</v>
      </c>
      <c r="J21" s="76">
        <v>174093</v>
      </c>
      <c r="K21" s="76">
        <v>3579</v>
      </c>
      <c r="L21" s="725">
        <v>165886</v>
      </c>
      <c r="M21" s="725">
        <v>5958</v>
      </c>
      <c r="N21" s="725">
        <v>10247</v>
      </c>
      <c r="O21" s="725">
        <v>19630</v>
      </c>
      <c r="P21" s="727">
        <v>107852</v>
      </c>
      <c r="Q21" s="725">
        <v>78161</v>
      </c>
      <c r="R21" s="725">
        <v>29691</v>
      </c>
      <c r="S21" s="725">
        <v>22199</v>
      </c>
      <c r="T21" s="725">
        <v>117369</v>
      </c>
      <c r="U21" s="725">
        <v>37213</v>
      </c>
      <c r="V21" s="725">
        <v>9027</v>
      </c>
      <c r="W21" s="725">
        <v>1952</v>
      </c>
      <c r="X21" s="725">
        <v>264</v>
      </c>
      <c r="Y21" s="725">
        <v>61</v>
      </c>
    </row>
    <row r="22" spans="1:25">
      <c r="A22" s="69" t="s">
        <v>30</v>
      </c>
      <c r="B22" s="75" t="s">
        <v>253</v>
      </c>
      <c r="C22" s="73">
        <v>185687</v>
      </c>
      <c r="D22" s="76">
        <v>117275</v>
      </c>
      <c r="E22" s="76">
        <v>68412</v>
      </c>
      <c r="F22" s="76">
        <v>2827</v>
      </c>
      <c r="G22" s="76">
        <v>70</v>
      </c>
      <c r="H22" s="76">
        <v>437651</v>
      </c>
      <c r="I22" s="76">
        <v>209979</v>
      </c>
      <c r="J22" s="76">
        <v>152706</v>
      </c>
      <c r="K22" s="76">
        <v>4199</v>
      </c>
      <c r="L22" s="725">
        <v>97628</v>
      </c>
      <c r="M22" s="725">
        <v>1996</v>
      </c>
      <c r="N22" s="725">
        <v>5276</v>
      </c>
      <c r="O22" s="725">
        <v>10975</v>
      </c>
      <c r="P22" s="727">
        <v>64446</v>
      </c>
      <c r="Q22" s="725">
        <v>47141</v>
      </c>
      <c r="R22" s="725">
        <v>17305</v>
      </c>
      <c r="S22" s="725">
        <v>14935</v>
      </c>
      <c r="T22" s="725">
        <v>70558</v>
      </c>
      <c r="U22" s="725">
        <v>21314</v>
      </c>
      <c r="V22" s="725">
        <v>4644</v>
      </c>
      <c r="W22" s="725">
        <v>948</v>
      </c>
      <c r="X22" s="725">
        <v>124</v>
      </c>
      <c r="Y22" s="725">
        <v>40</v>
      </c>
    </row>
    <row r="23" spans="1:25">
      <c r="A23" s="69" t="s">
        <v>31</v>
      </c>
      <c r="B23" s="75" t="s">
        <v>32</v>
      </c>
      <c r="C23" s="73">
        <v>133616</v>
      </c>
      <c r="D23" s="76">
        <v>80311</v>
      </c>
      <c r="E23" s="76">
        <v>53305</v>
      </c>
      <c r="F23" s="76">
        <v>2743</v>
      </c>
      <c r="G23" s="76">
        <v>66</v>
      </c>
      <c r="H23" s="76">
        <v>316298</v>
      </c>
      <c r="I23" s="76">
        <v>206009</v>
      </c>
      <c r="J23" s="76">
        <v>114442</v>
      </c>
      <c r="K23" s="76">
        <v>5119</v>
      </c>
      <c r="L23" s="725">
        <v>133616</v>
      </c>
      <c r="M23" s="725">
        <v>4243</v>
      </c>
      <c r="N23" s="725">
        <v>6240</v>
      </c>
      <c r="O23" s="725">
        <v>15480</v>
      </c>
      <c r="P23" s="727">
        <v>85716</v>
      </c>
      <c r="Q23" s="725">
        <v>66248</v>
      </c>
      <c r="R23" s="725">
        <v>19468</v>
      </c>
      <c r="S23" s="725">
        <v>21937</v>
      </c>
      <c r="T23" s="725">
        <v>96995</v>
      </c>
      <c r="U23" s="725">
        <v>28689</v>
      </c>
      <c r="V23" s="725">
        <v>6270</v>
      </c>
      <c r="W23" s="725">
        <v>1355</v>
      </c>
      <c r="X23" s="725">
        <v>220</v>
      </c>
      <c r="Y23" s="725">
        <v>87</v>
      </c>
    </row>
    <row r="24" spans="1:25">
      <c r="A24" s="69" t="s">
        <v>33</v>
      </c>
      <c r="B24" s="75" t="s">
        <v>34</v>
      </c>
      <c r="C24" s="73">
        <v>102734</v>
      </c>
      <c r="D24" s="76">
        <v>60084</v>
      </c>
      <c r="E24" s="76">
        <v>42650</v>
      </c>
      <c r="F24" s="76">
        <v>2469</v>
      </c>
      <c r="G24" s="76">
        <v>32</v>
      </c>
      <c r="H24" s="76">
        <v>328580</v>
      </c>
      <c r="I24" s="76">
        <v>172144</v>
      </c>
      <c r="J24" s="76">
        <v>123644</v>
      </c>
      <c r="K24" s="76">
        <v>1373</v>
      </c>
      <c r="L24" s="725">
        <v>102734</v>
      </c>
      <c r="M24" s="725">
        <v>1149</v>
      </c>
      <c r="N24" s="725">
        <v>4159</v>
      </c>
      <c r="O24" s="725">
        <v>9687</v>
      </c>
      <c r="P24" s="727">
        <v>71321</v>
      </c>
      <c r="Q24" s="725">
        <v>53525</v>
      </c>
      <c r="R24" s="725">
        <v>17796</v>
      </c>
      <c r="S24" s="725">
        <v>16418</v>
      </c>
      <c r="T24" s="725">
        <v>73326</v>
      </c>
      <c r="U24" s="725">
        <v>21866</v>
      </c>
      <c r="V24" s="725">
        <v>5839</v>
      </c>
      <c r="W24" s="725">
        <v>1360</v>
      </c>
      <c r="X24" s="725">
        <v>250</v>
      </c>
      <c r="Y24" s="725">
        <v>93</v>
      </c>
    </row>
    <row r="25" spans="1:25">
      <c r="A25" s="69" t="s">
        <v>35</v>
      </c>
      <c r="B25" s="75" t="s">
        <v>61</v>
      </c>
      <c r="C25" s="73">
        <v>129877</v>
      </c>
      <c r="D25" s="76">
        <v>78634</v>
      </c>
      <c r="E25" s="76">
        <v>51243</v>
      </c>
      <c r="F25" s="76">
        <v>2301</v>
      </c>
      <c r="G25" s="76">
        <v>46</v>
      </c>
      <c r="H25" s="76">
        <v>304318</v>
      </c>
      <c r="I25" s="76">
        <v>151313</v>
      </c>
      <c r="J25" s="76">
        <v>108245</v>
      </c>
      <c r="K25" s="76">
        <v>2951</v>
      </c>
      <c r="L25" s="725">
        <v>129877</v>
      </c>
      <c r="M25" s="725">
        <v>3809</v>
      </c>
      <c r="N25" s="725">
        <v>5992</v>
      </c>
      <c r="O25" s="725">
        <v>14764</v>
      </c>
      <c r="P25" s="727">
        <v>85899</v>
      </c>
      <c r="Q25" s="725">
        <v>64123</v>
      </c>
      <c r="R25" s="725">
        <v>21776</v>
      </c>
      <c r="S25" s="725">
        <v>19413</v>
      </c>
      <c r="T25" s="725">
        <v>94533</v>
      </c>
      <c r="U25" s="725">
        <v>27774</v>
      </c>
      <c r="V25" s="725">
        <v>6102</v>
      </c>
      <c r="W25" s="725">
        <v>1234</v>
      </c>
      <c r="X25" s="725">
        <v>163</v>
      </c>
      <c r="Y25" s="725">
        <v>71</v>
      </c>
    </row>
    <row r="26" spans="1:25">
      <c r="A26" s="69" t="s">
        <v>36</v>
      </c>
      <c r="B26" s="75" t="s">
        <v>37</v>
      </c>
      <c r="C26" s="73">
        <v>147722</v>
      </c>
      <c r="D26" s="76">
        <v>95794</v>
      </c>
      <c r="E26" s="76">
        <v>51928</v>
      </c>
      <c r="F26" s="76">
        <v>1631</v>
      </c>
      <c r="G26" s="76">
        <v>54</v>
      </c>
      <c r="H26" s="76">
        <v>258752</v>
      </c>
      <c r="I26" s="76">
        <v>97598</v>
      </c>
      <c r="J26" s="76">
        <v>83088</v>
      </c>
      <c r="K26" s="76">
        <v>2004</v>
      </c>
      <c r="L26" s="725">
        <v>147722</v>
      </c>
      <c r="M26" s="725">
        <v>1098</v>
      </c>
      <c r="N26" s="725">
        <v>5682</v>
      </c>
      <c r="O26" s="725">
        <v>19546</v>
      </c>
      <c r="P26" s="727">
        <v>103015</v>
      </c>
      <c r="Q26" s="725">
        <v>79036</v>
      </c>
      <c r="R26" s="725">
        <v>23979</v>
      </c>
      <c r="S26" s="725">
        <v>18381</v>
      </c>
      <c r="T26" s="725">
        <v>110215</v>
      </c>
      <c r="U26" s="725">
        <v>31509</v>
      </c>
      <c r="V26" s="725">
        <v>4998</v>
      </c>
      <c r="W26" s="725">
        <v>844</v>
      </c>
      <c r="X26" s="725">
        <v>105</v>
      </c>
      <c r="Y26" s="725">
        <v>51</v>
      </c>
    </row>
    <row r="27" spans="1:25">
      <c r="A27" s="69" t="s">
        <v>38</v>
      </c>
      <c r="B27" s="75" t="s">
        <v>39</v>
      </c>
      <c r="C27" s="73">
        <v>86849</v>
      </c>
      <c r="D27" s="76">
        <v>49423</v>
      </c>
      <c r="E27" s="76">
        <v>37426</v>
      </c>
      <c r="F27" s="76">
        <v>1731</v>
      </c>
      <c r="G27" s="76">
        <v>25</v>
      </c>
      <c r="H27" s="76">
        <v>236022</v>
      </c>
      <c r="I27" s="76">
        <v>140958</v>
      </c>
      <c r="J27" s="76">
        <v>79474</v>
      </c>
      <c r="K27" s="76">
        <v>1509</v>
      </c>
      <c r="L27" s="725">
        <v>86849</v>
      </c>
      <c r="M27" s="725">
        <v>2951</v>
      </c>
      <c r="N27" s="725">
        <v>4395</v>
      </c>
      <c r="O27" s="725">
        <v>7879</v>
      </c>
      <c r="P27" s="727">
        <v>58803</v>
      </c>
      <c r="Q27" s="725">
        <v>45593</v>
      </c>
      <c r="R27" s="725">
        <v>13210</v>
      </c>
      <c r="S27" s="725">
        <v>12821</v>
      </c>
      <c r="T27" s="725">
        <v>62026</v>
      </c>
      <c r="U27" s="725">
        <v>18592</v>
      </c>
      <c r="V27" s="725">
        <v>4845</v>
      </c>
      <c r="W27" s="725">
        <v>1143</v>
      </c>
      <c r="X27" s="725">
        <v>184</v>
      </c>
      <c r="Y27" s="725">
        <v>59</v>
      </c>
    </row>
    <row r="28" spans="1:25">
      <c r="A28" s="69" t="s">
        <v>40</v>
      </c>
      <c r="B28" s="75" t="s">
        <v>41</v>
      </c>
      <c r="C28" s="73">
        <v>76315</v>
      </c>
      <c r="D28" s="76">
        <v>45156</v>
      </c>
      <c r="E28" s="76">
        <v>31159</v>
      </c>
      <c r="F28" s="76">
        <v>1989</v>
      </c>
      <c r="G28" s="76">
        <v>45</v>
      </c>
      <c r="H28" s="76">
        <v>191259</v>
      </c>
      <c r="I28" s="76">
        <v>118449</v>
      </c>
      <c r="J28" s="76">
        <v>66531</v>
      </c>
      <c r="K28" s="76">
        <v>2281</v>
      </c>
      <c r="L28" s="725">
        <v>76315</v>
      </c>
      <c r="M28" s="725">
        <v>2572</v>
      </c>
      <c r="N28" s="725">
        <v>3958</v>
      </c>
      <c r="O28" s="725">
        <v>6764</v>
      </c>
      <c r="P28" s="727">
        <v>51756</v>
      </c>
      <c r="Q28" s="725">
        <v>38630</v>
      </c>
      <c r="R28" s="725">
        <v>13126</v>
      </c>
      <c r="S28" s="725">
        <v>11265</v>
      </c>
      <c r="T28" s="725">
        <v>53154</v>
      </c>
      <c r="U28" s="725">
        <v>18242</v>
      </c>
      <c r="V28" s="725">
        <v>3927</v>
      </c>
      <c r="W28" s="725">
        <v>803</v>
      </c>
      <c r="X28" s="725">
        <v>145</v>
      </c>
      <c r="Y28" s="725">
        <v>44</v>
      </c>
    </row>
    <row r="29" spans="1:25">
      <c r="A29" s="69" t="s">
        <v>42</v>
      </c>
      <c r="B29" s="75" t="s">
        <v>43</v>
      </c>
      <c r="C29" s="73">
        <v>66320</v>
      </c>
      <c r="D29" s="76">
        <v>41108</v>
      </c>
      <c r="E29" s="76">
        <v>25212</v>
      </c>
      <c r="F29" s="76">
        <v>1855</v>
      </c>
      <c r="G29" s="76">
        <v>30</v>
      </c>
      <c r="H29" s="76">
        <v>161174</v>
      </c>
      <c r="I29" s="76">
        <v>106973</v>
      </c>
      <c r="J29" s="76">
        <v>68482</v>
      </c>
      <c r="K29" s="76">
        <v>2829</v>
      </c>
      <c r="L29" s="725">
        <v>66320</v>
      </c>
      <c r="M29" s="725">
        <v>1314</v>
      </c>
      <c r="N29" s="725">
        <v>3604</v>
      </c>
      <c r="O29" s="725">
        <v>7311</v>
      </c>
      <c r="P29" s="727">
        <v>42651</v>
      </c>
      <c r="Q29" s="725">
        <v>33114</v>
      </c>
      <c r="R29" s="725">
        <v>9537</v>
      </c>
      <c r="S29" s="725">
        <v>11440</v>
      </c>
      <c r="T29" s="725">
        <v>47247</v>
      </c>
      <c r="U29" s="725">
        <v>14876</v>
      </c>
      <c r="V29" s="725">
        <v>3344</v>
      </c>
      <c r="W29" s="725">
        <v>696</v>
      </c>
      <c r="X29" s="725">
        <v>107</v>
      </c>
      <c r="Y29" s="725">
        <v>50</v>
      </c>
    </row>
    <row r="30" spans="1:25">
      <c r="A30" s="69" t="s">
        <v>44</v>
      </c>
      <c r="B30" s="75" t="s">
        <v>45</v>
      </c>
      <c r="C30" s="73">
        <v>63447</v>
      </c>
      <c r="D30" s="76">
        <v>35287</v>
      </c>
      <c r="E30" s="76">
        <v>28160</v>
      </c>
      <c r="F30" s="76">
        <v>1537</v>
      </c>
      <c r="G30" s="76">
        <v>29</v>
      </c>
      <c r="H30" s="76">
        <v>178482</v>
      </c>
      <c r="I30" s="76">
        <v>99338</v>
      </c>
      <c r="J30" s="76">
        <v>69691</v>
      </c>
      <c r="K30" s="76">
        <v>2348</v>
      </c>
      <c r="L30" s="725">
        <v>63447</v>
      </c>
      <c r="M30" s="725">
        <v>3962</v>
      </c>
      <c r="N30" s="725">
        <v>3112</v>
      </c>
      <c r="O30" s="725">
        <v>5211</v>
      </c>
      <c r="P30" s="727">
        <v>41803</v>
      </c>
      <c r="Q30" s="725">
        <v>33054</v>
      </c>
      <c r="R30" s="725">
        <v>8749</v>
      </c>
      <c r="S30" s="725">
        <v>9359</v>
      </c>
      <c r="T30" s="725">
        <v>44864</v>
      </c>
      <c r="U30" s="725">
        <v>13936</v>
      </c>
      <c r="V30" s="725">
        <v>3616</v>
      </c>
      <c r="W30" s="725">
        <v>851</v>
      </c>
      <c r="X30" s="725">
        <v>137</v>
      </c>
      <c r="Y30" s="725">
        <v>43</v>
      </c>
    </row>
    <row r="31" spans="1:25">
      <c r="A31" s="69" t="s">
        <v>46</v>
      </c>
      <c r="B31" s="75" t="s">
        <v>47</v>
      </c>
      <c r="C31" s="73">
        <v>48408</v>
      </c>
      <c r="D31" s="76">
        <v>31068</v>
      </c>
      <c r="E31" s="76">
        <v>17340</v>
      </c>
      <c r="F31" s="76">
        <v>2017</v>
      </c>
      <c r="G31" s="76">
        <v>15</v>
      </c>
      <c r="H31" s="76">
        <v>164472</v>
      </c>
      <c r="I31" s="76">
        <v>69923</v>
      </c>
      <c r="J31" s="76">
        <v>67154</v>
      </c>
      <c r="K31" s="76">
        <v>400</v>
      </c>
      <c r="L31" s="725">
        <v>48408</v>
      </c>
      <c r="M31" s="725">
        <v>1701</v>
      </c>
      <c r="N31" s="725">
        <v>2231</v>
      </c>
      <c r="O31" s="725">
        <v>4757</v>
      </c>
      <c r="P31" s="727">
        <v>32109</v>
      </c>
      <c r="Q31" s="725">
        <v>23371</v>
      </c>
      <c r="R31" s="725">
        <v>8738</v>
      </c>
      <c r="S31" s="725">
        <v>7610</v>
      </c>
      <c r="T31" s="725">
        <v>32361</v>
      </c>
      <c r="U31" s="725">
        <v>12204</v>
      </c>
      <c r="V31" s="725">
        <v>3026</v>
      </c>
      <c r="W31" s="725">
        <v>687</v>
      </c>
      <c r="X31" s="725">
        <v>100</v>
      </c>
      <c r="Y31" s="725">
        <v>30</v>
      </c>
    </row>
    <row r="32" spans="1:25">
      <c r="A32" s="69" t="s">
        <v>56</v>
      </c>
      <c r="B32" s="75" t="s">
        <v>63</v>
      </c>
      <c r="C32" s="73">
        <v>67109</v>
      </c>
      <c r="D32" s="76">
        <v>45373</v>
      </c>
      <c r="E32" s="76">
        <v>21736</v>
      </c>
      <c r="F32" s="76">
        <v>955</v>
      </c>
      <c r="G32" s="76">
        <v>12</v>
      </c>
      <c r="H32" s="76">
        <v>131969</v>
      </c>
      <c r="I32" s="76">
        <v>37411</v>
      </c>
      <c r="J32" s="76">
        <v>47739</v>
      </c>
      <c r="K32" s="76">
        <v>343</v>
      </c>
      <c r="L32" s="725">
        <v>67109</v>
      </c>
      <c r="M32" s="725">
        <v>1578</v>
      </c>
      <c r="N32" s="725">
        <v>3014</v>
      </c>
      <c r="O32" s="725">
        <v>8571</v>
      </c>
      <c r="P32" s="727">
        <v>43251</v>
      </c>
      <c r="Q32" s="725">
        <v>30906</v>
      </c>
      <c r="R32" s="725">
        <v>12345</v>
      </c>
      <c r="S32" s="725">
        <v>10695</v>
      </c>
      <c r="T32" s="725">
        <v>50014</v>
      </c>
      <c r="U32" s="725">
        <v>14194</v>
      </c>
      <c r="V32" s="725">
        <v>2357</v>
      </c>
      <c r="W32" s="725">
        <v>464</v>
      </c>
      <c r="X32" s="725">
        <v>54</v>
      </c>
      <c r="Y32" s="725">
        <v>26</v>
      </c>
    </row>
    <row r="33" spans="1:25">
      <c r="A33" s="69" t="s">
        <v>57</v>
      </c>
      <c r="B33" s="75" t="s">
        <v>64</v>
      </c>
      <c r="C33" s="73">
        <v>27725</v>
      </c>
      <c r="D33" s="76">
        <v>19193</v>
      </c>
      <c r="E33" s="76">
        <v>8532</v>
      </c>
      <c r="F33" s="76">
        <v>1125</v>
      </c>
      <c r="G33" s="76">
        <v>2</v>
      </c>
      <c r="H33" s="76">
        <v>103396</v>
      </c>
      <c r="I33" s="76">
        <v>47136</v>
      </c>
      <c r="J33" s="76">
        <v>36648</v>
      </c>
      <c r="K33" s="76">
        <v>2</v>
      </c>
      <c r="L33" s="725">
        <v>27725</v>
      </c>
      <c r="M33" s="725">
        <v>531</v>
      </c>
      <c r="N33" s="725">
        <v>1390</v>
      </c>
      <c r="O33" s="725">
        <v>2779</v>
      </c>
      <c r="P33" s="727">
        <v>17976</v>
      </c>
      <c r="Q33" s="725">
        <v>12023</v>
      </c>
      <c r="R33" s="725">
        <v>5953</v>
      </c>
      <c r="S33" s="725">
        <v>5049</v>
      </c>
      <c r="T33" s="725">
        <v>18314</v>
      </c>
      <c r="U33" s="725">
        <v>6883</v>
      </c>
      <c r="V33" s="725">
        <v>1927</v>
      </c>
      <c r="W33" s="725">
        <v>508</v>
      </c>
      <c r="X33" s="725">
        <v>75</v>
      </c>
      <c r="Y33" s="725">
        <v>18</v>
      </c>
    </row>
    <row r="34" spans="1:25">
      <c r="A34" s="69" t="s">
        <v>48</v>
      </c>
      <c r="B34" s="75" t="s">
        <v>49</v>
      </c>
      <c r="C34" s="73">
        <v>74155</v>
      </c>
      <c r="D34" s="76">
        <v>44878</v>
      </c>
      <c r="E34" s="76">
        <v>29277</v>
      </c>
      <c r="F34" s="76">
        <v>1078</v>
      </c>
      <c r="G34" s="76">
        <v>57</v>
      </c>
      <c r="H34" s="76">
        <v>163125</v>
      </c>
      <c r="I34" s="76">
        <v>63190</v>
      </c>
      <c r="J34" s="76">
        <v>60462</v>
      </c>
      <c r="K34" s="76">
        <v>4094</v>
      </c>
      <c r="L34" s="725">
        <v>74155</v>
      </c>
      <c r="M34" s="725">
        <v>1617</v>
      </c>
      <c r="N34" s="725">
        <v>3327</v>
      </c>
      <c r="O34" s="725">
        <v>9074</v>
      </c>
      <c r="P34" s="727">
        <v>48002</v>
      </c>
      <c r="Q34" s="725">
        <v>36880</v>
      </c>
      <c r="R34" s="725">
        <v>11122</v>
      </c>
      <c r="S34" s="725">
        <v>12135</v>
      </c>
      <c r="T34" s="725">
        <v>55790</v>
      </c>
      <c r="U34" s="725">
        <v>14656</v>
      </c>
      <c r="V34" s="725">
        <v>3003</v>
      </c>
      <c r="W34" s="725">
        <v>584</v>
      </c>
      <c r="X34" s="725">
        <v>82</v>
      </c>
      <c r="Y34" s="725">
        <v>40</v>
      </c>
    </row>
    <row r="35" spans="1:25">
      <c r="A35" s="69" t="s">
        <v>58</v>
      </c>
      <c r="B35" s="75" t="s">
        <v>65</v>
      </c>
      <c r="C35" s="73">
        <v>62969</v>
      </c>
      <c r="D35" s="76">
        <v>38630</v>
      </c>
      <c r="E35" s="76">
        <v>24339</v>
      </c>
      <c r="F35" s="76">
        <v>1175</v>
      </c>
      <c r="G35" s="76">
        <v>15</v>
      </c>
      <c r="H35" s="76">
        <v>112120</v>
      </c>
      <c r="I35" s="76">
        <v>54994</v>
      </c>
      <c r="J35" s="76">
        <v>41524</v>
      </c>
      <c r="K35" s="76">
        <v>633</v>
      </c>
      <c r="L35" s="725">
        <v>62969</v>
      </c>
      <c r="M35" s="725">
        <v>3730</v>
      </c>
      <c r="N35" s="725">
        <v>3551</v>
      </c>
      <c r="O35" s="725">
        <v>7936</v>
      </c>
      <c r="P35" s="727">
        <v>39757</v>
      </c>
      <c r="Q35" s="725">
        <v>27715</v>
      </c>
      <c r="R35" s="725">
        <v>12042</v>
      </c>
      <c r="S35" s="725">
        <v>7995</v>
      </c>
      <c r="T35" s="725">
        <v>45553</v>
      </c>
      <c r="U35" s="725">
        <v>14204</v>
      </c>
      <c r="V35" s="725">
        <v>2676</v>
      </c>
      <c r="W35" s="725">
        <v>474</v>
      </c>
      <c r="X35" s="725">
        <v>49</v>
      </c>
      <c r="Y35" s="725">
        <v>13</v>
      </c>
    </row>
    <row r="36" spans="1:25">
      <c r="A36" s="69" t="s">
        <v>254</v>
      </c>
      <c r="B36" s="69" t="s">
        <v>234</v>
      </c>
      <c r="C36" s="73">
        <v>156985</v>
      </c>
      <c r="D36" s="76">
        <v>102584</v>
      </c>
      <c r="E36" s="76">
        <v>54401</v>
      </c>
      <c r="F36" s="76">
        <v>1892</v>
      </c>
      <c r="G36" s="76">
        <v>54</v>
      </c>
      <c r="H36" s="76">
        <v>273077</v>
      </c>
      <c r="I36" s="76">
        <v>98996</v>
      </c>
      <c r="J36" s="76">
        <v>88750</v>
      </c>
      <c r="K36" s="76">
        <v>2004</v>
      </c>
      <c r="L36" s="725">
        <v>156985</v>
      </c>
      <c r="M36" s="725">
        <v>1300</v>
      </c>
      <c r="N36" s="725">
        <v>5988</v>
      </c>
      <c r="O36" s="725">
        <v>20511</v>
      </c>
      <c r="P36" s="727">
        <v>109378</v>
      </c>
      <c r="Q36" s="725">
        <v>83968</v>
      </c>
      <c r="R36" s="725">
        <v>25410</v>
      </c>
      <c r="S36" s="725">
        <v>19808</v>
      </c>
      <c r="T36" s="725">
        <v>116982</v>
      </c>
      <c r="U36" s="725">
        <v>33708</v>
      </c>
      <c r="V36" s="725">
        <v>5258</v>
      </c>
      <c r="W36" s="725">
        <v>877</v>
      </c>
      <c r="X36" s="725">
        <v>108</v>
      </c>
      <c r="Y36" s="725">
        <v>52</v>
      </c>
    </row>
    <row r="37" spans="1:25">
      <c r="A37" s="69" t="s">
        <v>255</v>
      </c>
      <c r="B37" s="69" t="s">
        <v>235</v>
      </c>
      <c r="C37" s="73">
        <v>216662</v>
      </c>
      <c r="D37" s="76">
        <v>135894</v>
      </c>
      <c r="E37" s="76">
        <v>80768</v>
      </c>
      <c r="F37" s="76">
        <v>3420</v>
      </c>
      <c r="G37" s="76">
        <v>76</v>
      </c>
      <c r="H37" s="76">
        <v>487499</v>
      </c>
      <c r="I37" s="76">
        <v>243165</v>
      </c>
      <c r="J37" s="76">
        <v>170430</v>
      </c>
      <c r="K37" s="76">
        <v>4267</v>
      </c>
      <c r="L37" s="725">
        <v>128603</v>
      </c>
      <c r="M37" s="725">
        <v>4129</v>
      </c>
      <c r="N37" s="725">
        <v>7247</v>
      </c>
      <c r="O37" s="725">
        <v>14264</v>
      </c>
      <c r="P37" s="727">
        <v>84038</v>
      </c>
      <c r="Q37" s="725">
        <v>61303</v>
      </c>
      <c r="R37" s="725">
        <v>22735</v>
      </c>
      <c r="S37" s="725">
        <v>18925</v>
      </c>
      <c r="T37" s="725">
        <v>92668</v>
      </c>
      <c r="U37" s="725">
        <v>28669</v>
      </c>
      <c r="V37" s="725">
        <v>5885</v>
      </c>
      <c r="W37" s="725">
        <v>1190</v>
      </c>
      <c r="X37" s="725">
        <v>139</v>
      </c>
      <c r="Y37" s="725">
        <v>52</v>
      </c>
    </row>
    <row r="38" spans="1:25">
      <c r="A38" s="69" t="s">
        <v>256</v>
      </c>
      <c r="B38" s="69" t="s">
        <v>236</v>
      </c>
      <c r="C38" s="73">
        <v>136270</v>
      </c>
      <c r="D38" s="76">
        <v>82459</v>
      </c>
      <c r="E38" s="76">
        <v>53811</v>
      </c>
      <c r="F38" s="76">
        <v>3041</v>
      </c>
      <c r="G38" s="76">
        <v>70</v>
      </c>
      <c r="H38" s="76">
        <v>324756</v>
      </c>
      <c r="I38" s="76">
        <v>207143</v>
      </c>
      <c r="J38" s="76">
        <v>118092</v>
      </c>
      <c r="K38" s="76">
        <v>5184</v>
      </c>
      <c r="L38" s="725">
        <v>136270</v>
      </c>
      <c r="M38" s="725">
        <v>4233</v>
      </c>
      <c r="N38" s="725">
        <v>6442</v>
      </c>
      <c r="O38" s="725">
        <v>15602</v>
      </c>
      <c r="P38" s="727">
        <v>87416</v>
      </c>
      <c r="Q38" s="725">
        <v>67490</v>
      </c>
      <c r="R38" s="725">
        <v>19926</v>
      </c>
      <c r="S38" s="725">
        <v>22577</v>
      </c>
      <c r="T38" s="725">
        <v>98679</v>
      </c>
      <c r="U38" s="725">
        <v>29468</v>
      </c>
      <c r="V38" s="725">
        <v>6434</v>
      </c>
      <c r="W38" s="725">
        <v>1374</v>
      </c>
      <c r="X38" s="725">
        <v>227</v>
      </c>
      <c r="Y38" s="725">
        <v>88</v>
      </c>
    </row>
    <row r="39" spans="1:25">
      <c r="A39" s="69" t="s">
        <v>71</v>
      </c>
      <c r="B39" s="69" t="s">
        <v>114</v>
      </c>
      <c r="C39" s="73">
        <v>168887</v>
      </c>
      <c r="D39" s="76">
        <v>101272</v>
      </c>
      <c r="E39" s="76">
        <v>67615</v>
      </c>
      <c r="F39" s="76">
        <v>3513</v>
      </c>
      <c r="G39" s="76">
        <v>57</v>
      </c>
      <c r="H39" s="76">
        <v>363619</v>
      </c>
      <c r="I39" s="76">
        <v>182548</v>
      </c>
      <c r="J39" s="76">
        <v>131043</v>
      </c>
      <c r="K39" s="76">
        <v>3129</v>
      </c>
      <c r="L39" s="725">
        <v>168887</v>
      </c>
      <c r="M39" s="725">
        <v>9116</v>
      </c>
      <c r="N39" s="725">
        <v>8088</v>
      </c>
      <c r="O39" s="725">
        <v>18774</v>
      </c>
      <c r="P39" s="727">
        <v>108534</v>
      </c>
      <c r="Q39" s="725">
        <v>79796</v>
      </c>
      <c r="R39" s="725">
        <v>28738</v>
      </c>
      <c r="S39" s="725">
        <v>24375</v>
      </c>
      <c r="T39" s="725">
        <v>122177</v>
      </c>
      <c r="U39" s="725">
        <v>37338</v>
      </c>
      <c r="V39" s="725">
        <v>7636</v>
      </c>
      <c r="W39" s="725">
        <v>1474</v>
      </c>
      <c r="X39" s="725">
        <v>186</v>
      </c>
      <c r="Y39" s="725">
        <v>76</v>
      </c>
    </row>
    <row r="40" spans="1:25">
      <c r="A40" s="69" t="s">
        <v>257</v>
      </c>
      <c r="B40" s="69" t="s">
        <v>237</v>
      </c>
      <c r="C40" s="73">
        <v>137228</v>
      </c>
      <c r="D40" s="76">
        <v>85758</v>
      </c>
      <c r="E40" s="76">
        <v>51470</v>
      </c>
      <c r="F40" s="76">
        <v>2316</v>
      </c>
      <c r="G40" s="76">
        <v>74</v>
      </c>
      <c r="H40" s="76">
        <v>257296</v>
      </c>
      <c r="I40" s="76">
        <v>92844</v>
      </c>
      <c r="J40" s="76">
        <v>95131</v>
      </c>
      <c r="K40" s="76">
        <v>4270</v>
      </c>
      <c r="L40" s="725">
        <v>137228</v>
      </c>
      <c r="M40" s="725">
        <v>6185</v>
      </c>
      <c r="N40" s="725">
        <v>6588</v>
      </c>
      <c r="O40" s="725">
        <v>17372</v>
      </c>
      <c r="P40" s="727">
        <v>86861</v>
      </c>
      <c r="Q40" s="725">
        <v>63826</v>
      </c>
      <c r="R40" s="725">
        <v>23035</v>
      </c>
      <c r="S40" s="725">
        <v>20222</v>
      </c>
      <c r="T40" s="725">
        <v>103534</v>
      </c>
      <c r="U40" s="725">
        <v>27642</v>
      </c>
      <c r="V40" s="725">
        <v>4950</v>
      </c>
      <c r="W40" s="725">
        <v>938</v>
      </c>
      <c r="X40" s="725">
        <v>116</v>
      </c>
      <c r="Y40" s="725">
        <v>48</v>
      </c>
    </row>
    <row r="41" spans="1:25">
      <c r="A41" s="69" t="s">
        <v>258</v>
      </c>
      <c r="B41" s="69" t="s">
        <v>238</v>
      </c>
      <c r="C41" s="73">
        <v>94128</v>
      </c>
      <c r="D41" s="76">
        <v>52469</v>
      </c>
      <c r="E41" s="76">
        <v>41659</v>
      </c>
      <c r="F41" s="76">
        <v>2525</v>
      </c>
      <c r="G41" s="76">
        <v>39</v>
      </c>
      <c r="H41" s="76">
        <v>241302</v>
      </c>
      <c r="I41" s="76">
        <v>141057</v>
      </c>
      <c r="J41" s="76">
        <v>92629</v>
      </c>
      <c r="K41" s="76">
        <v>2585</v>
      </c>
      <c r="L41" s="725">
        <v>94128</v>
      </c>
      <c r="M41" s="725">
        <v>7665</v>
      </c>
      <c r="N41" s="725">
        <v>4984</v>
      </c>
      <c r="O41" s="725">
        <v>7792</v>
      </c>
      <c r="P41" s="727">
        <v>60381</v>
      </c>
      <c r="Q41" s="725">
        <v>46689</v>
      </c>
      <c r="R41" s="725">
        <v>13692</v>
      </c>
      <c r="S41" s="725">
        <v>13306</v>
      </c>
      <c r="T41" s="725">
        <v>66114</v>
      </c>
      <c r="U41" s="725">
        <v>21407</v>
      </c>
      <c r="V41" s="725">
        <v>5194</v>
      </c>
      <c r="W41" s="725">
        <v>1183</v>
      </c>
      <c r="X41" s="725">
        <v>175</v>
      </c>
      <c r="Y41" s="725">
        <v>55</v>
      </c>
    </row>
    <row r="42" spans="1:25">
      <c r="A42" s="69" t="s">
        <v>259</v>
      </c>
      <c r="B42" s="69" t="s">
        <v>239</v>
      </c>
      <c r="C42" s="73">
        <v>119254</v>
      </c>
      <c r="D42" s="76">
        <v>74414</v>
      </c>
      <c r="E42" s="76">
        <v>44840</v>
      </c>
      <c r="F42" s="76">
        <v>3550</v>
      </c>
      <c r="G42" s="76">
        <v>39</v>
      </c>
      <c r="H42" s="76">
        <v>251996</v>
      </c>
      <c r="I42" s="76">
        <v>166576</v>
      </c>
      <c r="J42" s="76">
        <v>98872</v>
      </c>
      <c r="K42" s="76">
        <v>2871</v>
      </c>
      <c r="L42" s="725">
        <v>119254</v>
      </c>
      <c r="M42" s="725">
        <v>3910</v>
      </c>
      <c r="N42" s="725">
        <v>7277</v>
      </c>
      <c r="O42" s="725">
        <v>14258</v>
      </c>
      <c r="P42" s="727">
        <v>74463</v>
      </c>
      <c r="Q42" s="725">
        <v>55653</v>
      </c>
      <c r="R42" s="725">
        <v>18810</v>
      </c>
      <c r="S42" s="725">
        <v>19346</v>
      </c>
      <c r="T42" s="725">
        <v>84999</v>
      </c>
      <c r="U42" s="725">
        <v>27047</v>
      </c>
      <c r="V42" s="725">
        <v>5783</v>
      </c>
      <c r="W42" s="725">
        <v>1208</v>
      </c>
      <c r="X42" s="725">
        <v>162</v>
      </c>
      <c r="Y42" s="725">
        <v>55</v>
      </c>
    </row>
    <row r="43" spans="1:25">
      <c r="A43" s="69" t="s">
        <v>260</v>
      </c>
      <c r="B43" s="69" t="s">
        <v>240</v>
      </c>
      <c r="C43" s="73">
        <v>125701</v>
      </c>
      <c r="D43" s="76">
        <v>72978</v>
      </c>
      <c r="E43" s="76">
        <v>52723</v>
      </c>
      <c r="F43" s="76">
        <v>2667</v>
      </c>
      <c r="G43" s="76">
        <v>35</v>
      </c>
      <c r="H43" s="76">
        <v>315640</v>
      </c>
      <c r="I43" s="76">
        <v>190988</v>
      </c>
      <c r="J43" s="76">
        <v>104847</v>
      </c>
      <c r="K43" s="76">
        <v>1549</v>
      </c>
      <c r="L43" s="725">
        <v>125701</v>
      </c>
      <c r="M43" s="725">
        <v>5614</v>
      </c>
      <c r="N43" s="725">
        <v>6890</v>
      </c>
      <c r="O43" s="725">
        <v>11799</v>
      </c>
      <c r="P43" s="727">
        <v>83540</v>
      </c>
      <c r="Q43" s="725">
        <v>63303</v>
      </c>
      <c r="R43" s="725">
        <v>20237</v>
      </c>
      <c r="S43" s="725">
        <v>17858</v>
      </c>
      <c r="T43" s="725">
        <v>89563</v>
      </c>
      <c r="U43" s="725">
        <v>27677</v>
      </c>
      <c r="V43" s="725">
        <v>6614</v>
      </c>
      <c r="W43" s="725">
        <v>1540</v>
      </c>
      <c r="X43" s="725">
        <v>235</v>
      </c>
      <c r="Y43" s="725">
        <v>72</v>
      </c>
    </row>
    <row r="44" spans="1:25">
      <c r="A44" s="69" t="s">
        <v>261</v>
      </c>
      <c r="B44" s="69" t="s">
        <v>241</v>
      </c>
      <c r="C44" s="73">
        <v>186308</v>
      </c>
      <c r="D44" s="76">
        <v>115038</v>
      </c>
      <c r="E44" s="76">
        <v>71270</v>
      </c>
      <c r="F44" s="76">
        <v>6364</v>
      </c>
      <c r="G44" s="76">
        <v>37</v>
      </c>
      <c r="H44" s="76">
        <v>586116</v>
      </c>
      <c r="I44" s="76">
        <v>309242</v>
      </c>
      <c r="J44" s="76">
        <v>231367</v>
      </c>
      <c r="K44" s="76">
        <v>1380</v>
      </c>
      <c r="L44" s="725">
        <v>186308</v>
      </c>
      <c r="M44" s="725">
        <v>5969</v>
      </c>
      <c r="N44" s="725">
        <v>9074</v>
      </c>
      <c r="O44" s="725">
        <v>17389</v>
      </c>
      <c r="P44" s="727">
        <v>122869</v>
      </c>
      <c r="Q44" s="725">
        <v>88719</v>
      </c>
      <c r="R44" s="725">
        <v>34150</v>
      </c>
      <c r="S44" s="725">
        <v>31007</v>
      </c>
      <c r="T44" s="725">
        <v>129074</v>
      </c>
      <c r="U44" s="725">
        <v>43018</v>
      </c>
      <c r="V44" s="725">
        <v>11065</v>
      </c>
      <c r="W44" s="725">
        <v>2574</v>
      </c>
      <c r="X44" s="725">
        <v>432</v>
      </c>
      <c r="Y44" s="725">
        <v>145</v>
      </c>
    </row>
    <row r="45" spans="1:25">
      <c r="A45" s="69" t="s">
        <v>262</v>
      </c>
      <c r="B45" s="69" t="s">
        <v>247</v>
      </c>
      <c r="C45" s="73">
        <v>91944</v>
      </c>
      <c r="D45" s="76">
        <v>60882</v>
      </c>
      <c r="E45" s="76">
        <v>31062</v>
      </c>
      <c r="F45" s="76">
        <v>4715</v>
      </c>
      <c r="G45" s="76">
        <v>15</v>
      </c>
      <c r="H45" s="76">
        <v>281235</v>
      </c>
      <c r="I45" s="76">
        <v>131409</v>
      </c>
      <c r="J45" s="76">
        <v>110612</v>
      </c>
      <c r="K45" s="76">
        <v>197</v>
      </c>
      <c r="L45" s="725">
        <v>91944</v>
      </c>
      <c r="M45" s="725">
        <v>6450</v>
      </c>
      <c r="N45" s="725">
        <v>4691</v>
      </c>
      <c r="O45" s="725">
        <v>9085</v>
      </c>
      <c r="P45" s="727">
        <v>56024</v>
      </c>
      <c r="Q45" s="725">
        <v>37883</v>
      </c>
      <c r="R45" s="725">
        <v>18141</v>
      </c>
      <c r="S45" s="725">
        <v>15694</v>
      </c>
      <c r="T45" s="725">
        <v>60984</v>
      </c>
      <c r="U45" s="725">
        <v>23844</v>
      </c>
      <c r="V45" s="725">
        <v>5584</v>
      </c>
      <c r="W45" s="725">
        <v>1326</v>
      </c>
      <c r="X45" s="725">
        <v>155</v>
      </c>
      <c r="Y45" s="725">
        <v>51</v>
      </c>
    </row>
    <row r="46" spans="1:25">
      <c r="A46" s="69" t="s">
        <v>263</v>
      </c>
      <c r="B46" s="69" t="s">
        <v>242</v>
      </c>
      <c r="C46" s="73">
        <v>104346</v>
      </c>
      <c r="D46" s="76">
        <v>62469</v>
      </c>
      <c r="E46" s="76">
        <v>41877</v>
      </c>
      <c r="F46" s="76">
        <v>3349</v>
      </c>
      <c r="G46" s="76">
        <v>57</v>
      </c>
      <c r="H46" s="76">
        <v>247536</v>
      </c>
      <c r="I46" s="76">
        <v>161293</v>
      </c>
      <c r="J46" s="76">
        <v>84875</v>
      </c>
      <c r="K46" s="76">
        <v>2376</v>
      </c>
      <c r="L46" s="725">
        <v>104346</v>
      </c>
      <c r="M46" s="725">
        <v>4409</v>
      </c>
      <c r="N46" s="725">
        <v>6102</v>
      </c>
      <c r="O46" s="725">
        <v>9791</v>
      </c>
      <c r="P46" s="727">
        <v>68570</v>
      </c>
      <c r="Q46" s="725">
        <v>50009</v>
      </c>
      <c r="R46" s="725">
        <v>18561</v>
      </c>
      <c r="S46" s="725">
        <v>15474</v>
      </c>
      <c r="T46" s="725">
        <v>72055</v>
      </c>
      <c r="U46" s="725">
        <v>25671</v>
      </c>
      <c r="V46" s="725">
        <v>5308</v>
      </c>
      <c r="W46" s="725">
        <v>1072</v>
      </c>
      <c r="X46" s="725">
        <v>182</v>
      </c>
      <c r="Y46" s="725">
        <v>58</v>
      </c>
    </row>
    <row r="47" spans="1:25">
      <c r="A47" s="69" t="s">
        <v>264</v>
      </c>
      <c r="B47" s="69" t="s">
        <v>243</v>
      </c>
      <c r="C47" s="73">
        <v>200970</v>
      </c>
      <c r="D47" s="76">
        <v>112085</v>
      </c>
      <c r="E47" s="76">
        <v>88885</v>
      </c>
      <c r="F47" s="76">
        <v>3222</v>
      </c>
      <c r="G47" s="76">
        <v>70</v>
      </c>
      <c r="H47" s="76">
        <v>474104</v>
      </c>
      <c r="I47" s="76">
        <v>321326</v>
      </c>
      <c r="J47" s="76">
        <v>155844</v>
      </c>
      <c r="K47" s="76">
        <v>3562</v>
      </c>
      <c r="L47" s="725">
        <v>127203</v>
      </c>
      <c r="M47" s="725">
        <v>4657</v>
      </c>
      <c r="N47" s="725">
        <v>7462</v>
      </c>
      <c r="O47" s="725">
        <v>14182</v>
      </c>
      <c r="P47" s="727">
        <v>83904</v>
      </c>
      <c r="Q47" s="725">
        <v>61330</v>
      </c>
      <c r="R47" s="725">
        <v>22574</v>
      </c>
      <c r="S47" s="725">
        <v>16998</v>
      </c>
      <c r="T47" s="725">
        <v>89559</v>
      </c>
      <c r="U47" s="725">
        <v>28697</v>
      </c>
      <c r="V47" s="725">
        <v>7143</v>
      </c>
      <c r="W47" s="725">
        <v>1527</v>
      </c>
      <c r="X47" s="725">
        <v>221</v>
      </c>
      <c r="Y47" s="725">
        <v>56</v>
      </c>
    </row>
    <row r="48" spans="1:25">
      <c r="A48" s="69" t="s">
        <v>265</v>
      </c>
      <c r="B48" s="69" t="s">
        <v>244</v>
      </c>
      <c r="C48" s="73">
        <v>90366</v>
      </c>
      <c r="D48" s="76">
        <v>58157</v>
      </c>
      <c r="E48" s="76">
        <v>32209</v>
      </c>
      <c r="F48" s="76">
        <v>4343</v>
      </c>
      <c r="G48" s="76">
        <v>26</v>
      </c>
      <c r="H48" s="76">
        <v>283023</v>
      </c>
      <c r="I48" s="76">
        <v>151522</v>
      </c>
      <c r="J48" s="76">
        <v>113678</v>
      </c>
      <c r="K48" s="76">
        <v>615</v>
      </c>
      <c r="L48" s="725">
        <v>90366</v>
      </c>
      <c r="M48" s="725">
        <v>4867</v>
      </c>
      <c r="N48" s="725">
        <v>4652</v>
      </c>
      <c r="O48" s="725">
        <v>8134</v>
      </c>
      <c r="P48" s="727">
        <v>58579</v>
      </c>
      <c r="Q48" s="725">
        <v>42561</v>
      </c>
      <c r="R48" s="725">
        <v>16018</v>
      </c>
      <c r="S48" s="725">
        <v>14134</v>
      </c>
      <c r="T48" s="725">
        <v>59154</v>
      </c>
      <c r="U48" s="725">
        <v>24076</v>
      </c>
      <c r="V48" s="725">
        <v>5658</v>
      </c>
      <c r="W48" s="725">
        <v>1239</v>
      </c>
      <c r="X48" s="725">
        <v>171</v>
      </c>
      <c r="Y48" s="725">
        <v>68</v>
      </c>
    </row>
    <row r="49" spans="1:25">
      <c r="A49" s="69" t="s">
        <v>266</v>
      </c>
      <c r="B49" s="69" t="s">
        <v>245</v>
      </c>
      <c r="C49" s="73">
        <v>126292</v>
      </c>
      <c r="D49" s="76">
        <v>83699</v>
      </c>
      <c r="E49" s="76">
        <v>42593</v>
      </c>
      <c r="F49" s="76">
        <v>1727</v>
      </c>
      <c r="G49" s="76">
        <v>17</v>
      </c>
      <c r="H49" s="76">
        <v>213223</v>
      </c>
      <c r="I49" s="76">
        <v>56832</v>
      </c>
      <c r="J49" s="76">
        <v>72093</v>
      </c>
      <c r="K49" s="76">
        <v>398</v>
      </c>
      <c r="L49" s="725">
        <v>126292</v>
      </c>
      <c r="M49" s="725">
        <v>4045</v>
      </c>
      <c r="N49" s="725">
        <v>5795</v>
      </c>
      <c r="O49" s="725">
        <v>17737</v>
      </c>
      <c r="P49" s="727">
        <v>82133</v>
      </c>
      <c r="Q49" s="725">
        <v>58928</v>
      </c>
      <c r="R49" s="725">
        <v>23205</v>
      </c>
      <c r="S49" s="725">
        <v>16582</v>
      </c>
      <c r="T49" s="725">
        <v>94672</v>
      </c>
      <c r="U49" s="725">
        <v>26712</v>
      </c>
      <c r="V49" s="725">
        <v>4096</v>
      </c>
      <c r="W49" s="725">
        <v>694</v>
      </c>
      <c r="X49" s="725">
        <v>88</v>
      </c>
      <c r="Y49" s="725">
        <v>30</v>
      </c>
    </row>
    <row r="50" spans="1:25">
      <c r="A50" s="69" t="s">
        <v>267</v>
      </c>
      <c r="B50" s="69" t="s">
        <v>246</v>
      </c>
      <c r="C50" s="73">
        <v>68411</v>
      </c>
      <c r="D50" s="76">
        <v>42336</v>
      </c>
      <c r="E50" s="76">
        <v>26075</v>
      </c>
      <c r="F50" s="76">
        <v>1345</v>
      </c>
      <c r="G50" s="76">
        <v>15</v>
      </c>
      <c r="H50" s="76">
        <v>121231</v>
      </c>
      <c r="I50" s="76">
        <v>55506</v>
      </c>
      <c r="J50" s="76">
        <v>45086</v>
      </c>
      <c r="K50" s="76">
        <v>621</v>
      </c>
      <c r="L50" s="725">
        <v>68411</v>
      </c>
      <c r="M50" s="725">
        <v>4745</v>
      </c>
      <c r="N50" s="725">
        <v>3935</v>
      </c>
      <c r="O50" s="725">
        <v>8712</v>
      </c>
      <c r="P50" s="727">
        <v>42436</v>
      </c>
      <c r="Q50" s="725">
        <v>29770</v>
      </c>
      <c r="R50" s="725">
        <v>12666</v>
      </c>
      <c r="S50" s="725">
        <v>8583</v>
      </c>
      <c r="T50" s="725">
        <v>49641</v>
      </c>
      <c r="U50" s="725">
        <v>15451</v>
      </c>
      <c r="V50" s="725">
        <v>2741</v>
      </c>
      <c r="W50" s="725">
        <v>504</v>
      </c>
      <c r="X50" s="725">
        <v>61</v>
      </c>
      <c r="Y50" s="725">
        <v>13</v>
      </c>
    </row>
    <row r="51" spans="1:25">
      <c r="A51" s="69" t="s">
        <v>69</v>
      </c>
      <c r="B51" s="69" t="s">
        <v>70</v>
      </c>
      <c r="C51" s="73">
        <v>85541</v>
      </c>
      <c r="D51" s="76">
        <v>52113</v>
      </c>
      <c r="E51" s="76">
        <v>33428</v>
      </c>
      <c r="F51" s="76">
        <v>1367</v>
      </c>
      <c r="G51" s="76">
        <v>36</v>
      </c>
      <c r="H51" s="76">
        <v>250306</v>
      </c>
      <c r="I51" s="76">
        <v>109706</v>
      </c>
      <c r="J51" s="76">
        <v>92822</v>
      </c>
      <c r="K51" s="76">
        <v>2665</v>
      </c>
      <c r="L51" s="725">
        <v>85541</v>
      </c>
      <c r="M51" s="725">
        <v>314</v>
      </c>
      <c r="N51" s="725">
        <v>3312</v>
      </c>
      <c r="O51" s="725">
        <v>8360</v>
      </c>
      <c r="P51" s="727">
        <v>59673</v>
      </c>
      <c r="Q51" s="725">
        <v>45450</v>
      </c>
      <c r="R51" s="725">
        <v>14223</v>
      </c>
      <c r="S51" s="725">
        <v>13882</v>
      </c>
      <c r="T51" s="725">
        <v>61373</v>
      </c>
      <c r="U51" s="725">
        <v>18589</v>
      </c>
      <c r="V51" s="725">
        <v>4412</v>
      </c>
      <c r="W51" s="725">
        <v>964</v>
      </c>
      <c r="X51" s="725">
        <v>140</v>
      </c>
      <c r="Y51" s="725">
        <v>63</v>
      </c>
    </row>
    <row r="52" spans="1:25">
      <c r="A52" s="75" t="s">
        <v>73</v>
      </c>
      <c r="B52" s="75" t="s">
        <v>74</v>
      </c>
      <c r="C52" s="73">
        <v>370991</v>
      </c>
      <c r="D52" s="76">
        <v>220905</v>
      </c>
      <c r="E52" s="76">
        <v>150086</v>
      </c>
      <c r="F52" s="76">
        <v>10747</v>
      </c>
      <c r="G52" s="76">
        <v>106</v>
      </c>
      <c r="H52" s="76">
        <v>729318</v>
      </c>
      <c r="I52" s="76">
        <v>350999</v>
      </c>
      <c r="J52" s="76">
        <v>268439</v>
      </c>
      <c r="K52" s="76">
        <v>3864</v>
      </c>
      <c r="L52" s="725">
        <v>370991</v>
      </c>
      <c r="M52" s="725">
        <v>32223</v>
      </c>
      <c r="N52" s="725">
        <v>20494</v>
      </c>
      <c r="O52" s="725">
        <v>40169</v>
      </c>
      <c r="P52" s="727">
        <v>224987</v>
      </c>
      <c r="Q52" s="725">
        <v>165108</v>
      </c>
      <c r="R52" s="725">
        <v>59879</v>
      </c>
      <c r="S52" s="725">
        <v>53118</v>
      </c>
      <c r="T52" s="725">
        <v>267139</v>
      </c>
      <c r="U52" s="725">
        <v>84409</v>
      </c>
      <c r="V52" s="725">
        <v>15968</v>
      </c>
      <c r="W52" s="725">
        <v>2994</v>
      </c>
      <c r="X52" s="725">
        <v>359</v>
      </c>
      <c r="Y52" s="725">
        <v>122</v>
      </c>
    </row>
    <row r="53" spans="1:25">
      <c r="A53" s="71" t="s">
        <v>1413</v>
      </c>
      <c r="B53" s="75" t="s">
        <v>1406</v>
      </c>
      <c r="C53" s="73">
        <v>616513</v>
      </c>
      <c r="D53" s="76">
        <v>363702</v>
      </c>
      <c r="E53" s="76">
        <v>252811</v>
      </c>
      <c r="F53" s="76">
        <v>20585</v>
      </c>
      <c r="G53" s="76">
        <v>226</v>
      </c>
      <c r="H53" s="76">
        <v>1266445</v>
      </c>
      <c r="I53" s="76">
        <v>591400</v>
      </c>
      <c r="J53" s="76">
        <v>485635</v>
      </c>
      <c r="K53" s="76">
        <v>5591</v>
      </c>
      <c r="L53" s="725">
        <v>616513</v>
      </c>
      <c r="M53" s="725">
        <v>62785</v>
      </c>
      <c r="N53" s="725">
        <v>37112</v>
      </c>
      <c r="O53" s="725">
        <v>65050</v>
      </c>
      <c r="P53" s="727">
        <v>365626</v>
      </c>
      <c r="Q53" s="725">
        <v>265786</v>
      </c>
      <c r="R53" s="725">
        <v>99840</v>
      </c>
      <c r="S53" s="725">
        <v>85940</v>
      </c>
      <c r="T53" s="725">
        <v>439573</v>
      </c>
      <c r="U53" s="725">
        <v>143271</v>
      </c>
      <c r="V53" s="725">
        <v>27556</v>
      </c>
      <c r="W53" s="725">
        <v>5258</v>
      </c>
      <c r="X53" s="725">
        <v>658</v>
      </c>
      <c r="Y53" s="725">
        <v>197</v>
      </c>
    </row>
    <row r="54" spans="1:25">
      <c r="A54" s="69" t="s">
        <v>75</v>
      </c>
      <c r="B54" s="69" t="s">
        <v>1141</v>
      </c>
      <c r="C54" s="73">
        <v>6370660</v>
      </c>
      <c r="D54" s="74">
        <v>3806746</v>
      </c>
      <c r="E54" s="74">
        <v>2563914</v>
      </c>
      <c r="F54" s="74">
        <v>190756</v>
      </c>
      <c r="G54" s="74">
        <v>2431</v>
      </c>
      <c r="H54" s="74">
        <v>14476868</v>
      </c>
      <c r="I54" s="74">
        <v>7757907</v>
      </c>
      <c r="J54" s="74">
        <v>5198343</v>
      </c>
      <c r="K54" s="74">
        <v>84862</v>
      </c>
      <c r="L54" s="725">
        <v>5662514</v>
      </c>
      <c r="M54" s="725">
        <v>384923</v>
      </c>
      <c r="N54" s="725">
        <v>312291</v>
      </c>
      <c r="O54" s="725">
        <v>607174</v>
      </c>
      <c r="P54" s="727">
        <v>3550547</v>
      </c>
      <c r="Q54" s="725">
        <v>2607006</v>
      </c>
      <c r="R54" s="725">
        <v>943541</v>
      </c>
      <c r="S54" s="725">
        <v>807579</v>
      </c>
      <c r="T54" s="725">
        <v>4006541</v>
      </c>
      <c r="U54" s="725">
        <v>1318279</v>
      </c>
      <c r="V54" s="725">
        <v>270852</v>
      </c>
      <c r="W54" s="725">
        <v>55950</v>
      </c>
      <c r="X54" s="725">
        <v>8102</v>
      </c>
      <c r="Y54" s="725">
        <v>2790</v>
      </c>
    </row>
    <row r="55" spans="1:25">
      <c r="B55"/>
      <c r="C55"/>
      <c r="D55"/>
      <c r="E55"/>
      <c r="F55"/>
      <c r="G55"/>
      <c r="H55"/>
      <c r="I55"/>
      <c r="J55"/>
      <c r="K55"/>
      <c r="L55"/>
      <c r="M55"/>
      <c r="N55"/>
      <c r="O55"/>
      <c r="P55"/>
      <c r="Q55"/>
      <c r="R55"/>
      <c r="S55"/>
      <c r="T55"/>
      <c r="U55"/>
      <c r="V55"/>
      <c r="W55"/>
    </row>
    <row r="56" spans="1:25">
      <c r="B56"/>
      <c r="C56"/>
      <c r="D56"/>
      <c r="E56"/>
      <c r="F56"/>
      <c r="G56"/>
      <c r="H56"/>
      <c r="I56"/>
      <c r="J56"/>
      <c r="K56"/>
      <c r="U56"/>
      <c r="V56"/>
    </row>
    <row r="57" spans="1:25">
      <c r="A57" s="587" t="s">
        <v>1283</v>
      </c>
      <c r="B57" s="587"/>
      <c r="C57" s="588" t="s">
        <v>1282</v>
      </c>
      <c r="D57" s="587"/>
      <c r="E57" s="587"/>
      <c r="F57" s="587"/>
      <c r="G57" s="587"/>
      <c r="H57" s="587"/>
      <c r="I57" s="587"/>
      <c r="J57" s="58"/>
      <c r="K57" s="587" t="s">
        <v>1284</v>
      </c>
    </row>
    <row r="58" spans="1:25" s="84" customFormat="1">
      <c r="A58" s="84" t="s">
        <v>1663</v>
      </c>
      <c r="J58" s="85"/>
    </row>
    <row r="59" spans="1:25">
      <c r="A59" s="173" t="s">
        <v>698</v>
      </c>
      <c r="J59"/>
      <c r="K59" s="9">
        <v>2016</v>
      </c>
      <c r="M59" s="9">
        <v>2015</v>
      </c>
    </row>
    <row r="60" spans="1:25" s="80" customFormat="1" ht="45">
      <c r="A60" s="221" t="s">
        <v>269</v>
      </c>
      <c r="B60" s="55" t="s">
        <v>268</v>
      </c>
      <c r="C60" s="55">
        <v>2010</v>
      </c>
      <c r="D60" s="55">
        <v>2011</v>
      </c>
      <c r="E60" s="55">
        <v>2012</v>
      </c>
      <c r="F60" s="55">
        <v>2013</v>
      </c>
      <c r="G60" s="55">
        <v>2014</v>
      </c>
      <c r="H60" s="55">
        <v>2015</v>
      </c>
      <c r="I60" s="55">
        <v>2016</v>
      </c>
      <c r="K60" s="80" t="s">
        <v>697</v>
      </c>
      <c r="L60" s="80" t="s">
        <v>699</v>
      </c>
      <c r="M60" s="80" t="s">
        <v>700</v>
      </c>
      <c r="N60" s="80" t="s">
        <v>701</v>
      </c>
    </row>
    <row r="61" spans="1:25">
      <c r="A61" s="78" t="s">
        <v>254</v>
      </c>
      <c r="B61" s="69" t="s">
        <v>234</v>
      </c>
      <c r="C61">
        <v>11704</v>
      </c>
      <c r="D61">
        <v>9762</v>
      </c>
      <c r="E61">
        <v>10174</v>
      </c>
      <c r="F61">
        <v>8078</v>
      </c>
      <c r="G61">
        <v>7956</v>
      </c>
      <c r="H61">
        <v>6868</v>
      </c>
      <c r="I61" s="161">
        <v>6281</v>
      </c>
      <c r="J61"/>
      <c r="K61" s="675">
        <v>15392</v>
      </c>
      <c r="L61" s="220">
        <f>I61/K61</f>
        <v>0.40806912681912683</v>
      </c>
      <c r="M61" s="675">
        <v>15161</v>
      </c>
      <c r="N61" s="220">
        <f>H61/M61</f>
        <v>0.45300441923355977</v>
      </c>
      <c r="P61" s="80" t="s">
        <v>254</v>
      </c>
      <c r="Q61" s="80">
        <v>489115.86353220901</v>
      </c>
    </row>
    <row r="62" spans="1:25">
      <c r="A62" s="78" t="s">
        <v>255</v>
      </c>
      <c r="B62" s="69" t="s">
        <v>235</v>
      </c>
      <c r="C62">
        <v>14402</v>
      </c>
      <c r="D62">
        <v>11828</v>
      </c>
      <c r="E62">
        <v>12761</v>
      </c>
      <c r="F62">
        <v>11984</v>
      </c>
      <c r="G62">
        <v>11596</v>
      </c>
      <c r="H62">
        <v>9664</v>
      </c>
      <c r="I62" s="161">
        <v>9362</v>
      </c>
      <c r="K62" s="675">
        <v>20642</v>
      </c>
      <c r="L62" s="220">
        <f t="shared" ref="L62:L77" si="0">I62/K62</f>
        <v>0.45354132351516324</v>
      </c>
      <c r="M62" s="675">
        <v>19990</v>
      </c>
      <c r="N62" s="220">
        <f t="shared" ref="N62:N78" si="1">H62/M62</f>
        <v>0.48344172086043019</v>
      </c>
      <c r="P62" s="9" t="s">
        <v>255</v>
      </c>
      <c r="Q62" s="9">
        <v>883173.87418410915</v>
      </c>
    </row>
    <row r="63" spans="1:25">
      <c r="A63" s="78" t="s">
        <v>256</v>
      </c>
      <c r="B63" s="69" t="s">
        <v>236</v>
      </c>
      <c r="C63">
        <v>8469</v>
      </c>
      <c r="D63">
        <v>6827</v>
      </c>
      <c r="E63">
        <v>7376</v>
      </c>
      <c r="F63">
        <v>6941</v>
      </c>
      <c r="G63">
        <v>7198</v>
      </c>
      <c r="H63">
        <v>5041</v>
      </c>
      <c r="I63" s="161">
        <v>5155</v>
      </c>
      <c r="K63" s="675">
        <v>13034</v>
      </c>
      <c r="L63" s="220">
        <f t="shared" si="0"/>
        <v>0.39550406628816942</v>
      </c>
      <c r="M63" s="675">
        <v>12019</v>
      </c>
      <c r="N63" s="220">
        <f t="shared" si="1"/>
        <v>0.4194192528496547</v>
      </c>
      <c r="P63" s="9" t="s">
        <v>256</v>
      </c>
      <c r="Q63" s="9">
        <v>638413.26770847104</v>
      </c>
    </row>
    <row r="64" spans="1:25">
      <c r="A64" s="79" t="s">
        <v>71</v>
      </c>
      <c r="B64" s="69" t="s">
        <v>114</v>
      </c>
      <c r="C64">
        <v>9482</v>
      </c>
      <c r="D64">
        <v>8622</v>
      </c>
      <c r="E64">
        <v>8662</v>
      </c>
      <c r="F64">
        <v>8448</v>
      </c>
      <c r="G64">
        <v>8684</v>
      </c>
      <c r="H64">
        <v>7280</v>
      </c>
      <c r="I64" s="161">
        <v>5943</v>
      </c>
      <c r="K64" s="675">
        <v>17496</v>
      </c>
      <c r="L64" s="220">
        <f t="shared" si="0"/>
        <v>0.33967764060356653</v>
      </c>
      <c r="M64" s="675">
        <v>16597</v>
      </c>
      <c r="N64" s="220">
        <f t="shared" si="1"/>
        <v>0.43863348797975538</v>
      </c>
      <c r="P64" s="9" t="s">
        <v>71</v>
      </c>
      <c r="Q64" s="9">
        <v>706194.81616041926</v>
      </c>
    </row>
    <row r="65" spans="1:17">
      <c r="A65" s="79" t="s">
        <v>257</v>
      </c>
      <c r="B65" s="69" t="s">
        <v>237</v>
      </c>
      <c r="C65">
        <v>9819</v>
      </c>
      <c r="D65">
        <v>7548</v>
      </c>
      <c r="E65">
        <v>7862</v>
      </c>
      <c r="F65">
        <v>6363</v>
      </c>
      <c r="G65">
        <v>6682</v>
      </c>
      <c r="H65">
        <v>5741</v>
      </c>
      <c r="I65" s="161">
        <v>6034</v>
      </c>
      <c r="K65" s="675">
        <v>13234</v>
      </c>
      <c r="L65" s="220">
        <f t="shared" si="0"/>
        <v>0.45594680368747165</v>
      </c>
      <c r="M65" s="675">
        <v>12999</v>
      </c>
      <c r="N65" s="220">
        <f t="shared" si="1"/>
        <v>0.44164935764289559</v>
      </c>
      <c r="P65" s="9" t="s">
        <v>257</v>
      </c>
      <c r="Q65" s="9">
        <v>475929.62013935857</v>
      </c>
    </row>
    <row r="66" spans="1:17">
      <c r="A66" s="79" t="s">
        <v>258</v>
      </c>
      <c r="B66" s="69" t="s">
        <v>238</v>
      </c>
      <c r="C66">
        <v>4215</v>
      </c>
      <c r="D66">
        <v>3339</v>
      </c>
      <c r="E66">
        <v>3395</v>
      </c>
      <c r="F66">
        <v>3062</v>
      </c>
      <c r="G66">
        <v>3201</v>
      </c>
      <c r="H66">
        <v>2627</v>
      </c>
      <c r="I66" s="161">
        <v>2579</v>
      </c>
      <c r="K66" s="675">
        <v>6677</v>
      </c>
      <c r="L66" s="220">
        <f t="shared" si="0"/>
        <v>0.38625131046877342</v>
      </c>
      <c r="M66" s="675">
        <v>6254</v>
      </c>
      <c r="N66" s="220">
        <f t="shared" si="1"/>
        <v>0.4200511672529581</v>
      </c>
      <c r="P66" s="9" t="s">
        <v>258</v>
      </c>
      <c r="Q66" s="9">
        <v>479845.82285956031</v>
      </c>
    </row>
    <row r="67" spans="1:17">
      <c r="A67" s="79" t="s">
        <v>259</v>
      </c>
      <c r="B67" s="69" t="s">
        <v>239</v>
      </c>
      <c r="C67">
        <v>6996</v>
      </c>
      <c r="D67">
        <v>5685</v>
      </c>
      <c r="E67">
        <v>6139</v>
      </c>
      <c r="F67">
        <v>5076</v>
      </c>
      <c r="G67">
        <v>5538</v>
      </c>
      <c r="H67">
        <v>4303</v>
      </c>
      <c r="I67" s="161">
        <v>4200</v>
      </c>
      <c r="K67" s="675">
        <v>10149</v>
      </c>
      <c r="L67" s="220">
        <f t="shared" si="0"/>
        <v>0.41383387525864618</v>
      </c>
      <c r="M67" s="675">
        <v>10092</v>
      </c>
      <c r="N67" s="220">
        <f t="shared" si="1"/>
        <v>0.42637732857709076</v>
      </c>
      <c r="P67" s="9" t="s">
        <v>259</v>
      </c>
      <c r="Q67" s="9">
        <v>584060.98389911407</v>
      </c>
    </row>
    <row r="68" spans="1:17">
      <c r="A68" s="79" t="s">
        <v>260</v>
      </c>
      <c r="B68" s="69" t="s">
        <v>240</v>
      </c>
      <c r="C68">
        <v>6363</v>
      </c>
      <c r="D68">
        <v>5119</v>
      </c>
      <c r="E68">
        <v>5816</v>
      </c>
      <c r="F68">
        <v>5468</v>
      </c>
      <c r="G68">
        <v>6033</v>
      </c>
      <c r="H68">
        <v>4879</v>
      </c>
      <c r="I68" s="161">
        <v>5199</v>
      </c>
      <c r="K68" s="675">
        <v>10212</v>
      </c>
      <c r="L68" s="220">
        <f t="shared" si="0"/>
        <v>0.50910693301997645</v>
      </c>
      <c r="M68" s="675">
        <v>9707</v>
      </c>
      <c r="N68" s="220">
        <f t="shared" si="1"/>
        <v>0.50262697022767078</v>
      </c>
      <c r="P68" s="9" t="s">
        <v>260</v>
      </c>
      <c r="Q68" s="9">
        <v>625645.05255848449</v>
      </c>
    </row>
    <row r="69" spans="1:17">
      <c r="A69" s="79" t="s">
        <v>261</v>
      </c>
      <c r="B69" s="69" t="s">
        <v>241</v>
      </c>
      <c r="C69">
        <v>10142</v>
      </c>
      <c r="D69">
        <v>9262</v>
      </c>
      <c r="E69">
        <v>9298</v>
      </c>
      <c r="F69">
        <v>8190</v>
      </c>
      <c r="G69">
        <v>8131</v>
      </c>
      <c r="H69">
        <v>6203</v>
      </c>
      <c r="I69" s="161">
        <v>6857</v>
      </c>
      <c r="K69" s="675">
        <v>16551</v>
      </c>
      <c r="L69" s="220">
        <f t="shared" si="0"/>
        <v>0.41429520874871612</v>
      </c>
      <c r="M69" s="675">
        <v>15341</v>
      </c>
      <c r="N69" s="220">
        <f t="shared" si="1"/>
        <v>0.40434130760706605</v>
      </c>
      <c r="P69" s="9" t="s">
        <v>261</v>
      </c>
      <c r="Q69" s="9">
        <v>1169860.5579067885</v>
      </c>
    </row>
    <row r="70" spans="1:17">
      <c r="A70" s="79" t="s">
        <v>262</v>
      </c>
      <c r="B70" s="69" t="s">
        <v>247</v>
      </c>
      <c r="C70">
        <v>5622</v>
      </c>
      <c r="D70">
        <v>4550</v>
      </c>
      <c r="E70">
        <v>4887</v>
      </c>
      <c r="F70">
        <v>3940</v>
      </c>
      <c r="G70">
        <v>3750</v>
      </c>
      <c r="H70">
        <v>2629</v>
      </c>
      <c r="I70" s="161">
        <v>2123</v>
      </c>
      <c r="K70" s="675">
        <v>6296</v>
      </c>
      <c r="L70" s="220">
        <f t="shared" si="0"/>
        <v>0.33719822109275732</v>
      </c>
      <c r="M70" s="675">
        <v>6717</v>
      </c>
      <c r="N70" s="220">
        <f t="shared" si="1"/>
        <v>0.39139496799166296</v>
      </c>
      <c r="P70" s="9" t="s">
        <v>262</v>
      </c>
      <c r="Q70" s="9">
        <v>641878.2924776962</v>
      </c>
    </row>
    <row r="71" spans="1:17">
      <c r="A71" s="79" t="s">
        <v>263</v>
      </c>
      <c r="B71" s="69" t="s">
        <v>242</v>
      </c>
      <c r="C71">
        <v>5279</v>
      </c>
      <c r="D71">
        <v>4320</v>
      </c>
      <c r="E71">
        <v>4291</v>
      </c>
      <c r="F71">
        <v>4318</v>
      </c>
      <c r="G71">
        <v>4132</v>
      </c>
      <c r="H71">
        <v>2790</v>
      </c>
      <c r="I71" s="161">
        <v>3062</v>
      </c>
      <c r="K71" s="675">
        <v>7779</v>
      </c>
      <c r="L71" s="220">
        <f t="shared" si="0"/>
        <v>0.39362385910785447</v>
      </c>
      <c r="M71" s="675">
        <v>7118</v>
      </c>
      <c r="N71" s="220">
        <f t="shared" si="1"/>
        <v>0.39196403484124753</v>
      </c>
      <c r="P71" s="9" t="s">
        <v>263</v>
      </c>
      <c r="Q71" s="9">
        <v>544143.21738073835</v>
      </c>
    </row>
    <row r="72" spans="1:17">
      <c r="A72" s="79" t="s">
        <v>264</v>
      </c>
      <c r="B72" s="69" t="s">
        <v>243</v>
      </c>
      <c r="C72">
        <v>10434</v>
      </c>
      <c r="D72">
        <v>8122</v>
      </c>
      <c r="E72">
        <v>8600</v>
      </c>
      <c r="F72">
        <v>9064</v>
      </c>
      <c r="G72">
        <v>9332</v>
      </c>
      <c r="H72">
        <v>8131</v>
      </c>
      <c r="I72" s="161">
        <v>8776</v>
      </c>
      <c r="K72" s="675">
        <v>20729</v>
      </c>
      <c r="L72" s="220">
        <f t="shared" si="0"/>
        <v>0.42336822808625596</v>
      </c>
      <c r="M72" s="675">
        <v>18908</v>
      </c>
      <c r="N72" s="220">
        <f t="shared" si="1"/>
        <v>0.43002961709329385</v>
      </c>
      <c r="P72" s="9" t="s">
        <v>264</v>
      </c>
      <c r="Q72" s="9">
        <v>848600.11115094076</v>
      </c>
    </row>
    <row r="73" spans="1:17">
      <c r="A73" s="79" t="s">
        <v>265</v>
      </c>
      <c r="B73" s="69" t="s">
        <v>244</v>
      </c>
      <c r="C73">
        <v>4706</v>
      </c>
      <c r="D73">
        <v>3752</v>
      </c>
      <c r="E73">
        <v>3912</v>
      </c>
      <c r="F73">
        <v>3294</v>
      </c>
      <c r="G73">
        <v>3568</v>
      </c>
      <c r="H73">
        <v>2604</v>
      </c>
      <c r="I73" s="161">
        <v>2476</v>
      </c>
      <c r="K73" s="675">
        <v>6620</v>
      </c>
      <c r="L73" s="220">
        <f t="shared" si="0"/>
        <v>0.37401812688821751</v>
      </c>
      <c r="M73" s="675">
        <v>6294</v>
      </c>
      <c r="N73" s="220">
        <f t="shared" si="1"/>
        <v>0.41372735938989513</v>
      </c>
      <c r="P73" s="9" t="s">
        <v>265</v>
      </c>
      <c r="Q73" s="9">
        <v>578272.60123310029</v>
      </c>
    </row>
    <row r="74" spans="1:17">
      <c r="A74" s="79" t="s">
        <v>266</v>
      </c>
      <c r="B74" s="69" t="s">
        <v>245</v>
      </c>
      <c r="C74">
        <v>8509</v>
      </c>
      <c r="D74">
        <v>7668</v>
      </c>
      <c r="E74">
        <v>7600</v>
      </c>
      <c r="F74">
        <v>5831</v>
      </c>
      <c r="G74">
        <v>6011</v>
      </c>
      <c r="H74">
        <v>4404</v>
      </c>
      <c r="I74" s="161">
        <v>3841</v>
      </c>
      <c r="K74" s="675">
        <v>11707</v>
      </c>
      <c r="L74" s="220">
        <f t="shared" si="0"/>
        <v>0.32809430255402749</v>
      </c>
      <c r="M74" s="675">
        <v>11485</v>
      </c>
      <c r="N74" s="220">
        <f t="shared" si="1"/>
        <v>0.38345668262951677</v>
      </c>
      <c r="P74" s="9" t="s">
        <v>266</v>
      </c>
      <c r="Q74" s="9">
        <v>436880.4753072242</v>
      </c>
    </row>
    <row r="75" spans="1:17">
      <c r="A75" s="79" t="s">
        <v>267</v>
      </c>
      <c r="B75" s="69" t="s">
        <v>246</v>
      </c>
      <c r="C75">
        <v>4626</v>
      </c>
      <c r="D75">
        <v>3335</v>
      </c>
      <c r="E75">
        <v>3779</v>
      </c>
      <c r="F75">
        <v>3427</v>
      </c>
      <c r="G75">
        <v>3653</v>
      </c>
      <c r="H75">
        <v>2119</v>
      </c>
      <c r="I75" s="161">
        <v>1860</v>
      </c>
      <c r="K75" s="675">
        <v>5489</v>
      </c>
      <c r="L75" s="220">
        <f t="shared" si="0"/>
        <v>0.33885953725633083</v>
      </c>
      <c r="M75" s="675">
        <v>5529</v>
      </c>
      <c r="N75" s="220">
        <f t="shared" si="1"/>
        <v>0.383251944293724</v>
      </c>
      <c r="P75" s="9" t="s">
        <v>267</v>
      </c>
      <c r="Q75" s="9">
        <v>244113.495765183</v>
      </c>
    </row>
    <row r="76" spans="1:17">
      <c r="A76" s="887" t="s">
        <v>73</v>
      </c>
      <c r="B76" s="69" t="s">
        <v>74</v>
      </c>
      <c r="C76" s="867"/>
      <c r="D76" s="867"/>
      <c r="E76" s="867"/>
      <c r="F76" s="867"/>
      <c r="G76" s="867"/>
      <c r="H76" s="867"/>
      <c r="I76" s="161">
        <v>10428</v>
      </c>
      <c r="K76" s="675">
        <v>31235</v>
      </c>
      <c r="L76" s="220">
        <f t="shared" si="0"/>
        <v>0.33385625100048022</v>
      </c>
      <c r="M76" s="675"/>
      <c r="N76" s="220"/>
    </row>
    <row r="77" spans="1:17">
      <c r="A77" s="79"/>
      <c r="B77" s="69" t="s">
        <v>1406</v>
      </c>
      <c r="C77" s="867"/>
      <c r="D77" s="867"/>
      <c r="E77" s="867"/>
      <c r="F77" s="867"/>
      <c r="G77" s="867"/>
      <c r="H77" s="867"/>
      <c r="I77" s="161">
        <v>16077</v>
      </c>
      <c r="K77" s="675">
        <v>46061</v>
      </c>
      <c r="L77" s="220">
        <f t="shared" si="0"/>
        <v>0.3490371463928269</v>
      </c>
      <c r="M77" s="675"/>
      <c r="N77" s="220"/>
    </row>
    <row r="78" spans="1:17">
      <c r="A78" s="79" t="s">
        <v>270</v>
      </c>
      <c r="B78" s="69" t="s">
        <v>1141</v>
      </c>
      <c r="C78">
        <v>358588</v>
      </c>
      <c r="D78">
        <v>291721</v>
      </c>
      <c r="E78">
        <v>307478</v>
      </c>
      <c r="F78">
        <v>274942</v>
      </c>
      <c r="G78">
        <v>283454</v>
      </c>
      <c r="H78">
        <v>220156</v>
      </c>
      <c r="I78" s="161">
        <v>222792</v>
      </c>
      <c r="K78" s="675">
        <v>365188</v>
      </c>
      <c r="L78" s="220">
        <f>I78/K78</f>
        <v>0.61007481078239156</v>
      </c>
      <c r="M78" s="675">
        <v>509550</v>
      </c>
      <c r="N78" s="220">
        <f t="shared" si="1"/>
        <v>0.43205966048474143</v>
      </c>
    </row>
    <row r="82" spans="1:25" s="86" customFormat="1">
      <c r="A82" s="86" t="s">
        <v>272</v>
      </c>
      <c r="K82" s="607" t="s">
        <v>1287</v>
      </c>
      <c r="U82" s="643" t="s">
        <v>1335</v>
      </c>
      <c r="W82" s="643" t="s">
        <v>1336</v>
      </c>
      <c r="X82" s="643" t="s">
        <v>1662</v>
      </c>
      <c r="Y82" s="643"/>
    </row>
    <row r="83" spans="1:25">
      <c r="C83" s="9">
        <v>2016</v>
      </c>
      <c r="D83" s="937">
        <v>2014</v>
      </c>
      <c r="E83" s="9">
        <v>2016</v>
      </c>
      <c r="F83" s="77">
        <v>2016</v>
      </c>
      <c r="G83" s="77">
        <v>2016</v>
      </c>
      <c r="H83" s="77">
        <v>2016</v>
      </c>
      <c r="I83" s="77">
        <v>2015</v>
      </c>
      <c r="J83" s="77">
        <v>2015</v>
      </c>
      <c r="K83" s="939">
        <v>2014</v>
      </c>
      <c r="L83" s="77">
        <v>2015</v>
      </c>
      <c r="M83" s="723">
        <v>2013</v>
      </c>
      <c r="N83" s="723">
        <v>2013</v>
      </c>
      <c r="O83" s="77">
        <v>2015</v>
      </c>
      <c r="P83" s="77">
        <v>2016</v>
      </c>
      <c r="Q83" s="77">
        <v>2015</v>
      </c>
      <c r="R83" s="9">
        <v>2014</v>
      </c>
      <c r="S83" s="77">
        <v>2014</v>
      </c>
      <c r="T83" s="77">
        <v>2014</v>
      </c>
      <c r="U83" s="77"/>
      <c r="V83" s="77">
        <v>2013</v>
      </c>
      <c r="W83" s="77"/>
      <c r="X83" s="77">
        <v>2014</v>
      </c>
      <c r="Y83" s="77">
        <v>2013</v>
      </c>
    </row>
    <row r="84" spans="1:25" ht="66.75" customHeight="1">
      <c r="A84" s="9" t="s">
        <v>251</v>
      </c>
      <c r="B84" s="9" t="s">
        <v>252</v>
      </c>
      <c r="C84" s="80" t="s">
        <v>686</v>
      </c>
      <c r="D84" s="938" t="s">
        <v>687</v>
      </c>
      <c r="E84" s="80" t="s">
        <v>688</v>
      </c>
      <c r="F84" s="80" t="s">
        <v>689</v>
      </c>
      <c r="G84" s="80" t="s">
        <v>690</v>
      </c>
      <c r="H84" s="80" t="s">
        <v>691</v>
      </c>
      <c r="I84" s="80" t="s">
        <v>692</v>
      </c>
      <c r="J84" s="80" t="s">
        <v>693</v>
      </c>
      <c r="K84" s="938" t="s">
        <v>1233</v>
      </c>
      <c r="L84" s="80" t="s">
        <v>694</v>
      </c>
      <c r="M84" s="721" t="s">
        <v>695</v>
      </c>
      <c r="N84" s="721" t="s">
        <v>1234</v>
      </c>
      <c r="O84" s="80" t="s">
        <v>696</v>
      </c>
      <c r="P84" s="67" t="s">
        <v>703</v>
      </c>
      <c r="Q84" s="67" t="s">
        <v>705</v>
      </c>
      <c r="R84" s="80" t="s">
        <v>704</v>
      </c>
      <c r="S84" s="721" t="s">
        <v>687</v>
      </c>
      <c r="T84" s="721" t="s">
        <v>706</v>
      </c>
      <c r="U84" s="721" t="s">
        <v>973</v>
      </c>
      <c r="V84" s="721" t="s">
        <v>707</v>
      </c>
      <c r="W84" s="721" t="s">
        <v>974</v>
      </c>
      <c r="X84" s="721" t="s">
        <v>971</v>
      </c>
      <c r="Y84" s="721" t="s">
        <v>972</v>
      </c>
    </row>
    <row r="85" spans="1:25">
      <c r="A85" s="9" t="s">
        <v>88</v>
      </c>
      <c r="B85" s="9" t="s">
        <v>89</v>
      </c>
      <c r="C85" s="936">
        <v>41907</v>
      </c>
      <c r="D85" s="937">
        <v>3467</v>
      </c>
      <c r="E85" s="936">
        <v>5038</v>
      </c>
      <c r="F85" s="936">
        <v>3319</v>
      </c>
      <c r="G85" s="936">
        <v>47717</v>
      </c>
      <c r="H85" s="936">
        <v>5801</v>
      </c>
      <c r="I85" s="675">
        <v>5077</v>
      </c>
      <c r="J85" s="675">
        <v>5783</v>
      </c>
      <c r="K85" s="937">
        <v>16830</v>
      </c>
      <c r="L85" s="675">
        <v>40584</v>
      </c>
      <c r="M85" s="722">
        <v>3572</v>
      </c>
      <c r="N85" s="722">
        <v>16282</v>
      </c>
      <c r="O85" s="675">
        <v>46268</v>
      </c>
      <c r="P85" s="220">
        <v>2.2307474263975446E-2</v>
      </c>
      <c r="Q85" s="220">
        <v>2.2480160150496892E-2</v>
      </c>
      <c r="R85" s="640">
        <v>225843.58678991796</v>
      </c>
      <c r="S85" s="722">
        <v>3467</v>
      </c>
      <c r="T85" s="722">
        <v>5744</v>
      </c>
      <c r="U85" s="816" t="s">
        <v>916</v>
      </c>
      <c r="V85" s="722">
        <v>6769</v>
      </c>
      <c r="W85" s="816" t="s">
        <v>916</v>
      </c>
      <c r="X85" s="816" t="s">
        <v>916</v>
      </c>
      <c r="Y85" s="816" t="s">
        <v>916</v>
      </c>
    </row>
    <row r="86" spans="1:25">
      <c r="A86" s="9" t="s">
        <v>5</v>
      </c>
      <c r="B86" s="9" t="s">
        <v>6</v>
      </c>
      <c r="C86" s="936">
        <v>93463</v>
      </c>
      <c r="D86" s="937">
        <v>7718</v>
      </c>
      <c r="E86" s="936">
        <v>15145</v>
      </c>
      <c r="F86" s="936">
        <v>10609</v>
      </c>
      <c r="G86" s="936">
        <v>106670</v>
      </c>
      <c r="H86" s="936">
        <v>17073</v>
      </c>
      <c r="I86" s="675">
        <v>14106</v>
      </c>
      <c r="J86" s="675">
        <v>15957</v>
      </c>
      <c r="K86" s="937">
        <v>39074</v>
      </c>
      <c r="L86" s="675">
        <v>88636</v>
      </c>
      <c r="M86" s="722">
        <v>6978</v>
      </c>
      <c r="N86" s="722">
        <v>34905</v>
      </c>
      <c r="O86" s="675">
        <v>101436</v>
      </c>
      <c r="P86" s="220">
        <v>2.4586417744483377E-2</v>
      </c>
      <c r="Q86" s="220">
        <v>2.2899703446925223E-2</v>
      </c>
      <c r="R86" s="640">
        <v>615990.50977640646</v>
      </c>
      <c r="S86" s="722">
        <v>7718</v>
      </c>
      <c r="T86" s="722">
        <v>12747</v>
      </c>
      <c r="U86" s="816" t="s">
        <v>916</v>
      </c>
      <c r="V86" s="722">
        <v>13476</v>
      </c>
      <c r="W86" s="816" t="s">
        <v>916</v>
      </c>
      <c r="X86" s="816" t="s">
        <v>916</v>
      </c>
      <c r="Y86" s="816" t="s">
        <v>916</v>
      </c>
    </row>
    <row r="87" spans="1:25">
      <c r="A87" s="9" t="s">
        <v>87</v>
      </c>
      <c r="B87" s="9" t="s">
        <v>1076</v>
      </c>
      <c r="C87" s="936">
        <v>12055</v>
      </c>
      <c r="D87" s="937">
        <v>1033</v>
      </c>
      <c r="E87" s="936">
        <v>1494</v>
      </c>
      <c r="F87" s="936">
        <v>1025</v>
      </c>
      <c r="G87" s="936">
        <v>14362</v>
      </c>
      <c r="H87" s="936">
        <v>1722</v>
      </c>
      <c r="I87" s="675">
        <v>1550</v>
      </c>
      <c r="J87" s="675">
        <v>1737</v>
      </c>
      <c r="K87" s="937">
        <v>4959</v>
      </c>
      <c r="L87" s="675">
        <v>11726</v>
      </c>
      <c r="M87" s="722">
        <v>941</v>
      </c>
      <c r="N87" s="722">
        <v>4621</v>
      </c>
      <c r="O87" s="675">
        <v>14045</v>
      </c>
      <c r="P87" s="220">
        <v>9.7196187416038696E-3</v>
      </c>
      <c r="Q87" s="220">
        <v>1.008394180019143E-2</v>
      </c>
      <c r="R87" s="640">
        <v>153709.73283191453</v>
      </c>
      <c r="S87" s="722">
        <v>1033</v>
      </c>
      <c r="T87" s="722">
        <v>1848</v>
      </c>
      <c r="U87" s="816" t="s">
        <v>916</v>
      </c>
      <c r="V87" s="722">
        <v>2052</v>
      </c>
      <c r="W87" s="816" t="s">
        <v>916</v>
      </c>
      <c r="X87" s="816" t="s">
        <v>916</v>
      </c>
      <c r="Y87" s="816" t="s">
        <v>916</v>
      </c>
    </row>
    <row r="88" spans="1:25">
      <c r="A88" s="9" t="s">
        <v>7</v>
      </c>
      <c r="B88" s="9" t="s">
        <v>8</v>
      </c>
      <c r="C88" s="936">
        <v>55082</v>
      </c>
      <c r="D88" s="937">
        <v>4462</v>
      </c>
      <c r="E88" s="936">
        <v>6843</v>
      </c>
      <c r="F88" s="936">
        <v>4889</v>
      </c>
      <c r="G88" s="936">
        <v>62432</v>
      </c>
      <c r="H88" s="936">
        <v>7690</v>
      </c>
      <c r="I88" s="675">
        <v>6634</v>
      </c>
      <c r="J88" s="675">
        <v>7413</v>
      </c>
      <c r="K88" s="937">
        <v>21393</v>
      </c>
      <c r="L88" s="675">
        <v>53320</v>
      </c>
      <c r="M88" s="722">
        <v>4064</v>
      </c>
      <c r="N88" s="722">
        <v>20561</v>
      </c>
      <c r="O88" s="675">
        <v>60616</v>
      </c>
      <c r="P88" s="220">
        <v>1.7722670820617539E-2</v>
      </c>
      <c r="Q88" s="220">
        <v>1.7181382175066016E-2</v>
      </c>
      <c r="R88" s="640">
        <v>386115.61819673626</v>
      </c>
      <c r="S88" s="722">
        <v>4462</v>
      </c>
      <c r="T88" s="722">
        <v>6780</v>
      </c>
      <c r="U88" s="816" t="s">
        <v>916</v>
      </c>
      <c r="V88" s="722">
        <v>8073</v>
      </c>
      <c r="W88" s="816" t="s">
        <v>916</v>
      </c>
      <c r="X88" s="816" t="s">
        <v>916</v>
      </c>
      <c r="Y88" s="816" t="s">
        <v>916</v>
      </c>
    </row>
    <row r="89" spans="1:25">
      <c r="A89" s="9" t="s">
        <v>9</v>
      </c>
      <c r="B89" s="9" t="s">
        <v>10</v>
      </c>
      <c r="C89" s="936">
        <v>48386</v>
      </c>
      <c r="D89" s="937">
        <v>4095</v>
      </c>
      <c r="E89" s="936">
        <v>7145</v>
      </c>
      <c r="F89" s="936">
        <v>4719</v>
      </c>
      <c r="G89" s="936">
        <v>56448</v>
      </c>
      <c r="H89" s="936">
        <v>8141</v>
      </c>
      <c r="I89" s="675">
        <v>6434</v>
      </c>
      <c r="J89" s="675">
        <v>7217</v>
      </c>
      <c r="K89" s="937">
        <v>19900</v>
      </c>
      <c r="L89" s="675">
        <v>46086</v>
      </c>
      <c r="M89" s="722">
        <v>3616</v>
      </c>
      <c r="N89" s="722">
        <v>18000</v>
      </c>
      <c r="O89" s="675">
        <v>54023</v>
      </c>
      <c r="P89" s="220">
        <v>1.8582060514108465E-2</v>
      </c>
      <c r="Q89" s="220">
        <v>1.6732956941605859E-2</v>
      </c>
      <c r="R89" s="640">
        <v>384510.64103333128</v>
      </c>
      <c r="S89" s="722">
        <v>4095</v>
      </c>
      <c r="T89" s="722">
        <v>6521</v>
      </c>
      <c r="U89" s="816" t="s">
        <v>916</v>
      </c>
      <c r="V89" s="722">
        <v>7031</v>
      </c>
      <c r="W89" s="816" t="s">
        <v>916</v>
      </c>
      <c r="X89" s="816" t="s">
        <v>916</v>
      </c>
      <c r="Y89" s="816" t="s">
        <v>916</v>
      </c>
    </row>
    <row r="90" spans="1:25">
      <c r="A90" s="9" t="s">
        <v>11</v>
      </c>
      <c r="B90" s="9" t="s">
        <v>12</v>
      </c>
      <c r="C90" s="936">
        <v>133275</v>
      </c>
      <c r="D90" s="937">
        <v>10659</v>
      </c>
      <c r="E90" s="936">
        <v>20484</v>
      </c>
      <c r="F90" s="936">
        <v>13617</v>
      </c>
      <c r="G90" s="936">
        <v>152148</v>
      </c>
      <c r="H90" s="936">
        <v>22807</v>
      </c>
      <c r="I90" s="675">
        <v>18710</v>
      </c>
      <c r="J90" s="675">
        <v>20843</v>
      </c>
      <c r="K90" s="937">
        <v>54456</v>
      </c>
      <c r="L90" s="675">
        <v>126826</v>
      </c>
      <c r="M90" s="722">
        <v>9903</v>
      </c>
      <c r="N90" s="722">
        <v>52147</v>
      </c>
      <c r="O90" s="675">
        <v>145311</v>
      </c>
      <c r="P90" s="220">
        <v>2.3636802088728016E-2</v>
      </c>
      <c r="Q90" s="220">
        <v>2.1589756252689961E-2</v>
      </c>
      <c r="R90" s="640">
        <v>866614.69360817072</v>
      </c>
      <c r="S90" s="722">
        <v>10659</v>
      </c>
      <c r="T90" s="722">
        <v>18162</v>
      </c>
      <c r="U90" s="816" t="s">
        <v>916</v>
      </c>
      <c r="V90" s="722">
        <v>19448</v>
      </c>
      <c r="W90" s="816" t="s">
        <v>916</v>
      </c>
      <c r="X90" s="816" t="s">
        <v>916</v>
      </c>
      <c r="Y90" s="816" t="s">
        <v>916</v>
      </c>
    </row>
    <row r="91" spans="1:25">
      <c r="A91" s="9" t="s">
        <v>13</v>
      </c>
      <c r="B91" s="9" t="s">
        <v>54</v>
      </c>
      <c r="C91" s="936">
        <v>104551</v>
      </c>
      <c r="D91" s="937">
        <v>8624</v>
      </c>
      <c r="E91" s="936">
        <v>13538</v>
      </c>
      <c r="F91" s="936">
        <v>8395</v>
      </c>
      <c r="G91" s="936">
        <v>116907</v>
      </c>
      <c r="H91" s="936">
        <v>15223</v>
      </c>
      <c r="I91" s="675">
        <v>13238</v>
      </c>
      <c r="J91" s="675">
        <v>14896</v>
      </c>
      <c r="K91" s="937">
        <v>42414</v>
      </c>
      <c r="L91" s="675">
        <v>101261</v>
      </c>
      <c r="M91" s="722">
        <v>8486</v>
      </c>
      <c r="N91" s="722">
        <v>41259</v>
      </c>
      <c r="O91" s="675">
        <v>113442</v>
      </c>
      <c r="P91" s="220">
        <v>2.3753603978632732E-2</v>
      </c>
      <c r="Q91" s="220">
        <v>2.3227227764007988E-2</v>
      </c>
      <c r="R91" s="640">
        <v>569934.56707360887</v>
      </c>
      <c r="S91" s="722">
        <v>8624</v>
      </c>
      <c r="T91" s="722">
        <v>14289</v>
      </c>
      <c r="U91" s="816" t="s">
        <v>916</v>
      </c>
      <c r="V91" s="722">
        <v>16283</v>
      </c>
      <c r="W91" s="816" t="s">
        <v>916</v>
      </c>
      <c r="X91" s="816" t="s">
        <v>916</v>
      </c>
      <c r="Y91" s="816" t="s">
        <v>916</v>
      </c>
    </row>
    <row r="92" spans="1:25">
      <c r="A92" s="9" t="s">
        <v>14</v>
      </c>
      <c r="B92" s="9" t="s">
        <v>15</v>
      </c>
      <c r="C92" s="936">
        <v>61024</v>
      </c>
      <c r="D92" s="937">
        <v>5399</v>
      </c>
      <c r="E92" s="936">
        <v>8977</v>
      </c>
      <c r="F92" s="936">
        <v>5889</v>
      </c>
      <c r="G92" s="936">
        <v>68084</v>
      </c>
      <c r="H92" s="936">
        <v>10057</v>
      </c>
      <c r="I92" s="675">
        <v>8584</v>
      </c>
      <c r="J92" s="675">
        <v>9504</v>
      </c>
      <c r="K92" s="937">
        <v>26526</v>
      </c>
      <c r="L92" s="675">
        <v>58183</v>
      </c>
      <c r="M92" s="722">
        <v>5046</v>
      </c>
      <c r="N92" s="722">
        <v>23898</v>
      </c>
      <c r="O92" s="675">
        <v>65229</v>
      </c>
      <c r="P92" s="220">
        <v>2.9113488328364207E-2</v>
      </c>
      <c r="Q92" s="220">
        <v>2.7838942164495752E-2</v>
      </c>
      <c r="R92" s="640">
        <v>308345.0495093725</v>
      </c>
      <c r="S92" s="722">
        <v>5399</v>
      </c>
      <c r="T92" s="722">
        <v>8903</v>
      </c>
      <c r="U92" s="816" t="s">
        <v>916</v>
      </c>
      <c r="V92" s="722">
        <v>10261</v>
      </c>
      <c r="W92" s="816" t="s">
        <v>916</v>
      </c>
      <c r="X92" s="816" t="s">
        <v>916</v>
      </c>
      <c r="Y92" s="816" t="s">
        <v>916</v>
      </c>
    </row>
    <row r="93" spans="1:25">
      <c r="A93" s="9" t="s">
        <v>16</v>
      </c>
      <c r="B93" s="9" t="s">
        <v>17</v>
      </c>
      <c r="C93" s="936">
        <v>62727</v>
      </c>
      <c r="D93" s="937">
        <v>5060</v>
      </c>
      <c r="E93" s="936">
        <v>8450</v>
      </c>
      <c r="F93" s="936">
        <v>5867</v>
      </c>
      <c r="G93" s="936">
        <v>72709</v>
      </c>
      <c r="H93" s="936">
        <v>9732</v>
      </c>
      <c r="I93" s="675">
        <v>7937</v>
      </c>
      <c r="J93" s="675">
        <v>9141</v>
      </c>
      <c r="K93" s="937">
        <v>25072</v>
      </c>
      <c r="L93" s="675">
        <v>59894</v>
      </c>
      <c r="M93" s="722">
        <v>4802</v>
      </c>
      <c r="N93" s="722">
        <v>23464</v>
      </c>
      <c r="O93" s="675">
        <v>69659</v>
      </c>
      <c r="P93" s="220">
        <v>1.6226492897429168E-2</v>
      </c>
      <c r="Q93" s="220">
        <v>1.5241381553478735E-2</v>
      </c>
      <c r="R93" s="640">
        <v>520753.31702383875</v>
      </c>
      <c r="S93" s="722">
        <v>5060</v>
      </c>
      <c r="T93" s="722">
        <v>7628</v>
      </c>
      <c r="U93" s="816" t="s">
        <v>916</v>
      </c>
      <c r="V93" s="722">
        <v>8528</v>
      </c>
      <c r="W93" s="816" t="s">
        <v>916</v>
      </c>
      <c r="X93" s="816" t="s">
        <v>916</v>
      </c>
      <c r="Y93" s="816" t="s">
        <v>916</v>
      </c>
    </row>
    <row r="94" spans="1:25">
      <c r="A94" s="9" t="s">
        <v>18</v>
      </c>
      <c r="B94" s="9" t="s">
        <v>19</v>
      </c>
      <c r="C94" s="936">
        <v>67939</v>
      </c>
      <c r="D94" s="937">
        <v>5595</v>
      </c>
      <c r="E94" s="936">
        <v>8673</v>
      </c>
      <c r="F94" s="936">
        <v>5655</v>
      </c>
      <c r="G94" s="936">
        <v>75473</v>
      </c>
      <c r="H94" s="936">
        <v>9814</v>
      </c>
      <c r="I94" s="675">
        <v>8733</v>
      </c>
      <c r="J94" s="675">
        <v>9964</v>
      </c>
      <c r="K94" s="937">
        <v>27403</v>
      </c>
      <c r="L94" s="675">
        <v>65611</v>
      </c>
      <c r="M94" s="722">
        <v>5562</v>
      </c>
      <c r="N94" s="722">
        <v>26701</v>
      </c>
      <c r="O94" s="675">
        <v>72960</v>
      </c>
      <c r="P94" s="220">
        <v>3.1134980451457798E-2</v>
      </c>
      <c r="Q94" s="220">
        <v>3.1350372913937614E-2</v>
      </c>
      <c r="R94" s="640">
        <v>278561.27976447513</v>
      </c>
      <c r="S94" s="722">
        <v>5595</v>
      </c>
      <c r="T94" s="722">
        <v>9429</v>
      </c>
      <c r="U94" s="816" t="s">
        <v>916</v>
      </c>
      <c r="V94" s="722">
        <v>10897</v>
      </c>
      <c r="W94" s="816" t="s">
        <v>916</v>
      </c>
      <c r="X94" s="816" t="s">
        <v>916</v>
      </c>
      <c r="Y94" s="816" t="s">
        <v>916</v>
      </c>
    </row>
    <row r="95" spans="1:25">
      <c r="A95" s="9" t="s">
        <v>20</v>
      </c>
      <c r="B95" s="9" t="s">
        <v>21</v>
      </c>
      <c r="C95" s="936">
        <v>41515</v>
      </c>
      <c r="D95" s="937">
        <v>3394</v>
      </c>
      <c r="E95" s="936">
        <v>5311</v>
      </c>
      <c r="F95" s="936">
        <v>3578</v>
      </c>
      <c r="G95" s="936">
        <v>48460</v>
      </c>
      <c r="H95" s="936">
        <v>6167</v>
      </c>
      <c r="I95" s="675">
        <v>4895</v>
      </c>
      <c r="J95" s="675">
        <v>5566</v>
      </c>
      <c r="K95" s="937">
        <v>16774</v>
      </c>
      <c r="L95" s="675">
        <v>40187</v>
      </c>
      <c r="M95" s="722">
        <v>3103</v>
      </c>
      <c r="N95" s="722">
        <v>15471</v>
      </c>
      <c r="O95" s="675">
        <v>47013</v>
      </c>
      <c r="P95" s="220">
        <v>1.3729135854440962E-2</v>
      </c>
      <c r="Q95" s="220">
        <v>1.2653760121914614E-2</v>
      </c>
      <c r="R95" s="640">
        <v>386841.53586272884</v>
      </c>
      <c r="S95" s="722">
        <v>3394</v>
      </c>
      <c r="T95" s="722">
        <v>5018</v>
      </c>
      <c r="U95" s="816" t="s">
        <v>916</v>
      </c>
      <c r="V95" s="722">
        <v>5728</v>
      </c>
      <c r="W95" s="816" t="s">
        <v>916</v>
      </c>
      <c r="X95" s="816" t="s">
        <v>916</v>
      </c>
      <c r="Y95" s="816" t="s">
        <v>916</v>
      </c>
    </row>
    <row r="96" spans="1:25">
      <c r="A96" s="9" t="s">
        <v>22</v>
      </c>
      <c r="B96" s="9" t="s">
        <v>23</v>
      </c>
      <c r="C96" s="936">
        <v>38760</v>
      </c>
      <c r="D96" s="937">
        <v>3116</v>
      </c>
      <c r="E96" s="936">
        <v>4920</v>
      </c>
      <c r="F96" s="936">
        <v>3315</v>
      </c>
      <c r="G96" s="936">
        <v>45316</v>
      </c>
      <c r="H96" s="936">
        <v>5633</v>
      </c>
      <c r="I96" s="675">
        <v>4501</v>
      </c>
      <c r="J96" s="675">
        <v>5096</v>
      </c>
      <c r="K96" s="937">
        <v>15137</v>
      </c>
      <c r="L96" s="675">
        <v>37702</v>
      </c>
      <c r="M96" s="722">
        <v>2945</v>
      </c>
      <c r="N96" s="722">
        <v>14612</v>
      </c>
      <c r="O96" s="675">
        <v>44222</v>
      </c>
      <c r="P96" s="220">
        <v>1.2601043756789542E-2</v>
      </c>
      <c r="Q96" s="220">
        <v>1.1527906087258075E-2</v>
      </c>
      <c r="R96" s="640">
        <v>390443.84695109603</v>
      </c>
      <c r="S96" s="722">
        <v>3116</v>
      </c>
      <c r="T96" s="722">
        <v>5098</v>
      </c>
      <c r="U96" s="816" t="s">
        <v>916</v>
      </c>
      <c r="V96" s="722">
        <v>5643</v>
      </c>
      <c r="W96" s="816" t="s">
        <v>916</v>
      </c>
      <c r="X96" s="816" t="s">
        <v>916</v>
      </c>
      <c r="Y96" s="816" t="s">
        <v>916</v>
      </c>
    </row>
    <row r="97" spans="1:25">
      <c r="A97" s="9" t="s">
        <v>24</v>
      </c>
      <c r="B97" s="9" t="s">
        <v>25</v>
      </c>
      <c r="C97" s="936">
        <v>38566</v>
      </c>
      <c r="D97" s="937">
        <v>3162</v>
      </c>
      <c r="E97" s="936">
        <v>5064</v>
      </c>
      <c r="F97" s="936">
        <v>3305</v>
      </c>
      <c r="G97" s="936">
        <v>44244</v>
      </c>
      <c r="H97" s="936">
        <v>5675</v>
      </c>
      <c r="I97" s="675">
        <v>4451</v>
      </c>
      <c r="J97" s="675">
        <v>5048</v>
      </c>
      <c r="K97" s="937">
        <v>15510</v>
      </c>
      <c r="L97" s="675">
        <v>37599</v>
      </c>
      <c r="M97" s="722">
        <v>2913</v>
      </c>
      <c r="N97" s="722">
        <v>14327</v>
      </c>
      <c r="O97" s="675">
        <v>43146</v>
      </c>
      <c r="P97" s="220">
        <v>1.8075333411641966E-2</v>
      </c>
      <c r="Q97" s="220">
        <v>1.5887304307902524E-2</v>
      </c>
      <c r="R97" s="640">
        <v>280160.80725450837</v>
      </c>
      <c r="S97" s="722">
        <v>3162</v>
      </c>
      <c r="T97" s="722">
        <v>4790</v>
      </c>
      <c r="U97" s="816" t="s">
        <v>916</v>
      </c>
      <c r="V97" s="722">
        <v>5376</v>
      </c>
      <c r="W97" s="816" t="s">
        <v>916</v>
      </c>
      <c r="X97" s="816" t="s">
        <v>916</v>
      </c>
      <c r="Y97" s="816" t="s">
        <v>916</v>
      </c>
    </row>
    <row r="98" spans="1:25">
      <c r="A98" s="9" t="s">
        <v>51</v>
      </c>
      <c r="B98" s="9" t="s">
        <v>55</v>
      </c>
      <c r="C98" s="936">
        <v>49552</v>
      </c>
      <c r="D98" s="937">
        <v>4016</v>
      </c>
      <c r="E98" s="936">
        <v>6286</v>
      </c>
      <c r="F98" s="936">
        <v>4341</v>
      </c>
      <c r="G98" s="936">
        <v>55862</v>
      </c>
      <c r="H98" s="936">
        <v>7283</v>
      </c>
      <c r="I98" s="675">
        <v>6226</v>
      </c>
      <c r="J98" s="675">
        <v>7046</v>
      </c>
      <c r="K98" s="937">
        <v>20113</v>
      </c>
      <c r="L98" s="675">
        <v>48220</v>
      </c>
      <c r="M98" s="722">
        <v>4198</v>
      </c>
      <c r="N98" s="722">
        <v>19612</v>
      </c>
      <c r="O98" s="675">
        <v>54432</v>
      </c>
      <c r="P98" s="220">
        <v>2.4040611818736794E-2</v>
      </c>
      <c r="Q98" s="220">
        <v>2.3811143681745986E-2</v>
      </c>
      <c r="R98" s="640">
        <v>261474.21069794954</v>
      </c>
      <c r="S98" s="722">
        <v>4016</v>
      </c>
      <c r="T98" s="722">
        <v>7470</v>
      </c>
      <c r="U98" s="816" t="s">
        <v>916</v>
      </c>
      <c r="V98" s="722">
        <v>7970</v>
      </c>
      <c r="W98" s="816" t="s">
        <v>916</v>
      </c>
      <c r="X98" s="816" t="s">
        <v>916</v>
      </c>
      <c r="Y98" s="816" t="s">
        <v>916</v>
      </c>
    </row>
    <row r="99" spans="1:25">
      <c r="A99" s="9" t="s">
        <v>26</v>
      </c>
      <c r="B99" s="9" t="s">
        <v>27</v>
      </c>
      <c r="C99" s="936">
        <v>97342</v>
      </c>
      <c r="D99" s="937">
        <v>8292</v>
      </c>
      <c r="E99" s="936">
        <v>14034</v>
      </c>
      <c r="F99" s="936">
        <v>9622</v>
      </c>
      <c r="G99" s="936">
        <v>111160</v>
      </c>
      <c r="H99" s="936">
        <v>15831</v>
      </c>
      <c r="I99" s="675">
        <v>12948</v>
      </c>
      <c r="J99" s="675">
        <v>14500</v>
      </c>
      <c r="K99" s="937">
        <v>40857</v>
      </c>
      <c r="L99" s="675">
        <v>93708</v>
      </c>
      <c r="M99" s="722">
        <v>7811</v>
      </c>
      <c r="N99" s="722">
        <v>38439</v>
      </c>
      <c r="O99" s="675">
        <v>107290</v>
      </c>
      <c r="P99" s="220">
        <v>1.941014813395673E-2</v>
      </c>
      <c r="Q99" s="220">
        <v>1.7908122989772818E-2</v>
      </c>
      <c r="R99" s="640">
        <v>723023.84830584959</v>
      </c>
      <c r="S99" s="722">
        <v>8292</v>
      </c>
      <c r="T99" s="722">
        <v>13761</v>
      </c>
      <c r="U99" s="816" t="s">
        <v>916</v>
      </c>
      <c r="V99" s="722">
        <v>15848</v>
      </c>
      <c r="W99" s="816" t="s">
        <v>916</v>
      </c>
      <c r="X99" s="816" t="s">
        <v>916</v>
      </c>
      <c r="Y99" s="816" t="s">
        <v>916</v>
      </c>
    </row>
    <row r="100" spans="1:25">
      <c r="A100" s="9" t="s">
        <v>28</v>
      </c>
      <c r="B100" s="9" t="s">
        <v>29</v>
      </c>
      <c r="C100" s="936">
        <v>162666</v>
      </c>
      <c r="D100" s="937">
        <v>13208</v>
      </c>
      <c r="E100" s="936">
        <v>24352</v>
      </c>
      <c r="F100" s="936">
        <v>16222</v>
      </c>
      <c r="G100" s="936">
        <v>184999</v>
      </c>
      <c r="H100" s="936">
        <v>27171</v>
      </c>
      <c r="I100" s="675">
        <v>22451</v>
      </c>
      <c r="J100" s="675">
        <v>24984</v>
      </c>
      <c r="K100" s="937">
        <v>66646</v>
      </c>
      <c r="L100" s="675">
        <v>155116</v>
      </c>
      <c r="M100" s="722">
        <v>12231</v>
      </c>
      <c r="N100" s="722">
        <v>63934</v>
      </c>
      <c r="O100" s="675">
        <v>177011</v>
      </c>
      <c r="P100" s="220">
        <v>2.2244283442153658E-2</v>
      </c>
      <c r="Q100" s="220">
        <v>2.0507818970096573E-2</v>
      </c>
      <c r="R100" s="640">
        <v>1094753.1784212096</v>
      </c>
      <c r="S100" s="722">
        <v>13208</v>
      </c>
      <c r="T100" s="722">
        <v>22055</v>
      </c>
      <c r="U100" s="816" t="s">
        <v>916</v>
      </c>
      <c r="V100" s="722">
        <v>24057</v>
      </c>
      <c r="W100" s="816" t="s">
        <v>916</v>
      </c>
      <c r="X100" s="816" t="s">
        <v>916</v>
      </c>
      <c r="Y100" s="816" t="s">
        <v>916</v>
      </c>
    </row>
    <row r="101" spans="1:25">
      <c r="A101" s="9" t="s">
        <v>30</v>
      </c>
      <c r="B101" s="9" t="s">
        <v>253</v>
      </c>
      <c r="C101" s="936">
        <v>139756</v>
      </c>
      <c r="D101" s="937">
        <v>11774</v>
      </c>
      <c r="E101" s="936">
        <v>18204</v>
      </c>
      <c r="F101" s="936">
        <v>11297</v>
      </c>
      <c r="G101" s="936">
        <v>157169</v>
      </c>
      <c r="H101" s="936">
        <v>20635</v>
      </c>
      <c r="I101" s="675">
        <v>17546</v>
      </c>
      <c r="J101" s="675">
        <v>19812</v>
      </c>
      <c r="K101" s="937">
        <v>57153</v>
      </c>
      <c r="L101" s="675">
        <v>135357</v>
      </c>
      <c r="M101" s="722">
        <v>11402</v>
      </c>
      <c r="N101" s="722">
        <v>55364</v>
      </c>
      <c r="O101" s="675">
        <v>152529</v>
      </c>
      <c r="P101" s="220">
        <v>2.3607573941321531E-2</v>
      </c>
      <c r="Q101" s="220">
        <v>2.2754256887191144E-2</v>
      </c>
      <c r="R101" s="640">
        <v>771108.46058334771</v>
      </c>
      <c r="S101" s="722">
        <v>11774</v>
      </c>
      <c r="T101" s="722">
        <v>19120</v>
      </c>
      <c r="U101" s="816" t="s">
        <v>916</v>
      </c>
      <c r="V101" s="722">
        <v>21946</v>
      </c>
      <c r="W101" s="816" t="s">
        <v>916</v>
      </c>
      <c r="X101" s="816" t="s">
        <v>916</v>
      </c>
      <c r="Y101" s="816" t="s">
        <v>916</v>
      </c>
    </row>
    <row r="102" spans="1:25">
      <c r="A102" s="9" t="s">
        <v>31</v>
      </c>
      <c r="B102" s="9" t="s">
        <v>32</v>
      </c>
      <c r="C102" s="936">
        <v>88417</v>
      </c>
      <c r="D102" s="937">
        <v>7567</v>
      </c>
      <c r="E102" s="936">
        <v>13027</v>
      </c>
      <c r="F102" s="936">
        <v>8862</v>
      </c>
      <c r="G102" s="936">
        <v>100874</v>
      </c>
      <c r="H102" s="936">
        <v>14657</v>
      </c>
      <c r="I102" s="675">
        <v>11958</v>
      </c>
      <c r="J102" s="675">
        <v>13348</v>
      </c>
      <c r="K102" s="937">
        <v>37331</v>
      </c>
      <c r="L102" s="675">
        <v>84934</v>
      </c>
      <c r="M102" s="722">
        <v>7076</v>
      </c>
      <c r="N102" s="722">
        <v>35081</v>
      </c>
      <c r="O102" s="675">
        <v>97196</v>
      </c>
      <c r="P102" s="220">
        <v>1.964136280972003E-2</v>
      </c>
      <c r="Q102" s="220">
        <v>1.8029585973641828E-2</v>
      </c>
      <c r="R102" s="640">
        <v>663243.18359178503</v>
      </c>
      <c r="S102" s="722">
        <v>7567</v>
      </c>
      <c r="T102" s="722">
        <v>12662</v>
      </c>
      <c r="U102" s="816" t="s">
        <v>916</v>
      </c>
      <c r="V102" s="722">
        <v>14537</v>
      </c>
      <c r="W102" s="816" t="s">
        <v>916</v>
      </c>
      <c r="X102" s="816" t="s">
        <v>916</v>
      </c>
      <c r="Y102" s="816" t="s">
        <v>916</v>
      </c>
    </row>
    <row r="103" spans="1:25">
      <c r="A103" s="9" t="s">
        <v>33</v>
      </c>
      <c r="B103" s="9" t="s">
        <v>34</v>
      </c>
      <c r="C103" s="936">
        <v>69975</v>
      </c>
      <c r="D103" s="937">
        <v>5923</v>
      </c>
      <c r="E103" s="936">
        <v>9998</v>
      </c>
      <c r="F103" s="936">
        <v>6384</v>
      </c>
      <c r="G103" s="936">
        <v>80358</v>
      </c>
      <c r="H103" s="936">
        <v>11343</v>
      </c>
      <c r="I103" s="675">
        <v>9183</v>
      </c>
      <c r="J103" s="675">
        <v>10200</v>
      </c>
      <c r="K103" s="937">
        <v>29030</v>
      </c>
      <c r="L103" s="675">
        <v>67035</v>
      </c>
      <c r="M103" s="722">
        <v>5317</v>
      </c>
      <c r="N103" s="722">
        <v>26594</v>
      </c>
      <c r="O103" s="675">
        <v>77231</v>
      </c>
      <c r="P103" s="220">
        <v>1.8047036475912936E-2</v>
      </c>
      <c r="Q103" s="220">
        <v>1.6575908777586367E-2</v>
      </c>
      <c r="R103" s="640">
        <v>553996.7746695783</v>
      </c>
      <c r="S103" s="722">
        <v>5923</v>
      </c>
      <c r="T103" s="722">
        <v>9598</v>
      </c>
      <c r="U103" s="816" t="s">
        <v>916</v>
      </c>
      <c r="V103" s="722">
        <v>10026</v>
      </c>
      <c r="W103" s="816" t="s">
        <v>916</v>
      </c>
      <c r="X103" s="816" t="s">
        <v>916</v>
      </c>
      <c r="Y103" s="816" t="s">
        <v>916</v>
      </c>
    </row>
    <row r="104" spans="1:25">
      <c r="A104" s="9" t="s">
        <v>35</v>
      </c>
      <c r="B104" s="9" t="s">
        <v>61</v>
      </c>
      <c r="C104" s="936">
        <v>88920</v>
      </c>
      <c r="D104" s="937">
        <v>7361</v>
      </c>
      <c r="E104" s="936">
        <v>14628</v>
      </c>
      <c r="F104" s="936">
        <v>10242</v>
      </c>
      <c r="G104" s="936">
        <v>101488</v>
      </c>
      <c r="H104" s="936">
        <v>16493</v>
      </c>
      <c r="I104" s="675">
        <v>13601</v>
      </c>
      <c r="J104" s="675">
        <v>15357</v>
      </c>
      <c r="K104" s="937">
        <v>37359</v>
      </c>
      <c r="L104" s="675">
        <v>84227</v>
      </c>
      <c r="M104" s="722">
        <v>6632</v>
      </c>
      <c r="N104" s="722">
        <v>33323</v>
      </c>
      <c r="O104" s="675">
        <v>96406</v>
      </c>
      <c r="P104" s="220">
        <v>2.50743579929084E-2</v>
      </c>
      <c r="Q104" s="220">
        <v>2.3313941964830952E-2</v>
      </c>
      <c r="R104" s="640">
        <v>583384.82700682234</v>
      </c>
      <c r="S104" s="722">
        <v>7361</v>
      </c>
      <c r="T104" s="722">
        <v>12255</v>
      </c>
      <c r="U104" s="816" t="s">
        <v>916</v>
      </c>
      <c r="V104" s="722">
        <v>12922</v>
      </c>
      <c r="W104" s="816" t="s">
        <v>916</v>
      </c>
      <c r="X104" s="816" t="s">
        <v>916</v>
      </c>
      <c r="Y104" s="816" t="s">
        <v>916</v>
      </c>
    </row>
    <row r="105" spans="1:25">
      <c r="A105" s="9" t="s">
        <v>36</v>
      </c>
      <c r="B105" s="9" t="s">
        <v>37</v>
      </c>
      <c r="C105" s="936">
        <v>115765</v>
      </c>
      <c r="D105" s="937">
        <v>9548</v>
      </c>
      <c r="E105" s="936">
        <v>14697</v>
      </c>
      <c r="F105" s="936">
        <v>9462</v>
      </c>
      <c r="G105" s="936">
        <v>128907</v>
      </c>
      <c r="H105" s="936">
        <v>16669</v>
      </c>
      <c r="I105" s="675">
        <v>14341</v>
      </c>
      <c r="J105" s="675">
        <v>16397</v>
      </c>
      <c r="K105" s="937">
        <v>46632</v>
      </c>
      <c r="L105" s="675">
        <v>111844</v>
      </c>
      <c r="M105" s="722">
        <v>9778</v>
      </c>
      <c r="N105" s="722">
        <v>45666</v>
      </c>
      <c r="O105" s="675">
        <v>124633</v>
      </c>
      <c r="P105" s="220">
        <v>3.240532902884502E-2</v>
      </c>
      <c r="Q105" s="220">
        <v>3.162038671855933E-2</v>
      </c>
      <c r="R105" s="640">
        <v>453536.51514902781</v>
      </c>
      <c r="S105" s="722">
        <v>9548</v>
      </c>
      <c r="T105" s="722">
        <v>16076</v>
      </c>
      <c r="U105" s="816" t="s">
        <v>916</v>
      </c>
      <c r="V105" s="722">
        <v>18322</v>
      </c>
      <c r="W105" s="816" t="s">
        <v>916</v>
      </c>
      <c r="X105" s="816" t="s">
        <v>916</v>
      </c>
      <c r="Y105" s="816" t="s">
        <v>916</v>
      </c>
    </row>
    <row r="106" spans="1:25">
      <c r="A106" s="9" t="s">
        <v>38</v>
      </c>
      <c r="B106" s="9" t="s">
        <v>39</v>
      </c>
      <c r="C106" s="936">
        <v>56503</v>
      </c>
      <c r="D106" s="937">
        <v>4505</v>
      </c>
      <c r="E106" s="936">
        <v>7775</v>
      </c>
      <c r="F106" s="936">
        <v>5401</v>
      </c>
      <c r="G106" s="936">
        <v>65530</v>
      </c>
      <c r="H106" s="936">
        <v>8930</v>
      </c>
      <c r="I106" s="675">
        <v>7285</v>
      </c>
      <c r="J106" s="675">
        <v>8383</v>
      </c>
      <c r="K106" s="937">
        <v>22415</v>
      </c>
      <c r="L106" s="675">
        <v>53557</v>
      </c>
      <c r="M106" s="722">
        <v>4300</v>
      </c>
      <c r="N106" s="722">
        <v>20919</v>
      </c>
      <c r="O106" s="675">
        <v>62155</v>
      </c>
      <c r="P106" s="220">
        <v>1.7043006814800761E-2</v>
      </c>
      <c r="Q106" s="220">
        <v>1.5968913780813315E-2</v>
      </c>
      <c r="R106" s="640">
        <v>456198.84357776062</v>
      </c>
      <c r="S106" s="722">
        <v>4505</v>
      </c>
      <c r="T106" s="722">
        <v>6857</v>
      </c>
      <c r="U106" s="816" t="s">
        <v>916</v>
      </c>
      <c r="V106" s="722">
        <v>7643</v>
      </c>
      <c r="W106" s="816" t="s">
        <v>916</v>
      </c>
      <c r="X106" s="816" t="s">
        <v>916</v>
      </c>
      <c r="Y106" s="816" t="s">
        <v>916</v>
      </c>
    </row>
    <row r="107" spans="1:25">
      <c r="A107" s="9" t="s">
        <v>40</v>
      </c>
      <c r="B107" s="9" t="s">
        <v>41</v>
      </c>
      <c r="C107" s="936">
        <v>49438</v>
      </c>
      <c r="D107" s="937">
        <v>4014</v>
      </c>
      <c r="E107" s="936">
        <v>6101</v>
      </c>
      <c r="F107" s="936">
        <v>3950</v>
      </c>
      <c r="G107" s="936">
        <v>56237</v>
      </c>
      <c r="H107" s="936">
        <v>6853</v>
      </c>
      <c r="I107" s="675">
        <v>5450</v>
      </c>
      <c r="J107" s="675">
        <v>6170</v>
      </c>
      <c r="K107" s="937">
        <v>19820</v>
      </c>
      <c r="L107" s="675">
        <v>48243</v>
      </c>
      <c r="M107" s="722">
        <v>3735</v>
      </c>
      <c r="N107" s="722">
        <v>18240</v>
      </c>
      <c r="O107" s="675">
        <v>54872</v>
      </c>
      <c r="P107" s="220">
        <v>1.612443900756207E-2</v>
      </c>
      <c r="Q107" s="220">
        <v>1.4403899785479967E-2</v>
      </c>
      <c r="R107" s="640">
        <v>378369.7527175204</v>
      </c>
      <c r="S107" s="722">
        <v>4014</v>
      </c>
      <c r="T107" s="722">
        <v>6043</v>
      </c>
      <c r="U107" s="816" t="s">
        <v>916</v>
      </c>
      <c r="V107" s="722">
        <v>6797</v>
      </c>
      <c r="W107" s="816" t="s">
        <v>916</v>
      </c>
      <c r="X107" s="816" t="s">
        <v>916</v>
      </c>
      <c r="Y107" s="816" t="s">
        <v>916</v>
      </c>
    </row>
    <row r="108" spans="1:25">
      <c r="A108" s="9" t="s">
        <v>42</v>
      </c>
      <c r="B108" s="9" t="s">
        <v>43</v>
      </c>
      <c r="C108" s="936">
        <v>44831</v>
      </c>
      <c r="D108" s="937">
        <v>3672</v>
      </c>
      <c r="E108" s="936">
        <v>5801</v>
      </c>
      <c r="F108" s="936">
        <v>4107</v>
      </c>
      <c r="G108" s="936">
        <v>50713</v>
      </c>
      <c r="H108" s="936">
        <v>6468</v>
      </c>
      <c r="I108" s="675">
        <v>5572</v>
      </c>
      <c r="J108" s="675">
        <v>6221</v>
      </c>
      <c r="K108" s="937">
        <v>17746</v>
      </c>
      <c r="L108" s="675">
        <v>43347</v>
      </c>
      <c r="M108" s="722">
        <v>3331</v>
      </c>
      <c r="N108" s="722">
        <v>16941</v>
      </c>
      <c r="O108" s="675">
        <v>49158</v>
      </c>
      <c r="P108" s="220">
        <v>1.771069513004668E-2</v>
      </c>
      <c r="Q108" s="220">
        <v>1.7011548571732479E-2</v>
      </c>
      <c r="R108" s="640">
        <v>327542.19737871521</v>
      </c>
      <c r="S108" s="722">
        <v>3672</v>
      </c>
      <c r="T108" s="722">
        <v>5714</v>
      </c>
      <c r="U108" s="816" t="s">
        <v>916</v>
      </c>
      <c r="V108" s="722">
        <v>6743</v>
      </c>
      <c r="W108" s="816" t="s">
        <v>916</v>
      </c>
      <c r="X108" s="816" t="s">
        <v>916</v>
      </c>
      <c r="Y108" s="816" t="s">
        <v>916</v>
      </c>
    </row>
    <row r="109" spans="1:25">
      <c r="A109" s="9" t="s">
        <v>44</v>
      </c>
      <c r="B109" s="9" t="s">
        <v>45</v>
      </c>
      <c r="C109" s="936">
        <v>37353</v>
      </c>
      <c r="D109" s="937">
        <v>3086</v>
      </c>
      <c r="E109" s="936">
        <v>4934</v>
      </c>
      <c r="F109" s="936">
        <v>3318</v>
      </c>
      <c r="G109" s="936">
        <v>43685</v>
      </c>
      <c r="H109" s="936">
        <v>5705</v>
      </c>
      <c r="I109" s="675">
        <v>4483</v>
      </c>
      <c r="J109" s="675">
        <v>5086</v>
      </c>
      <c r="K109" s="937">
        <v>15212</v>
      </c>
      <c r="L109" s="675">
        <v>36145</v>
      </c>
      <c r="M109" s="722">
        <v>2774</v>
      </c>
      <c r="N109" s="722">
        <v>14012</v>
      </c>
      <c r="O109" s="675">
        <v>42375</v>
      </c>
      <c r="P109" s="220">
        <v>1.4264238436469448E-2</v>
      </c>
      <c r="Q109" s="220">
        <v>1.296039337468434E-2</v>
      </c>
      <c r="R109" s="640">
        <v>345899.99472984258</v>
      </c>
      <c r="S109" s="722">
        <v>3086</v>
      </c>
      <c r="T109" s="722">
        <v>4578</v>
      </c>
      <c r="U109" s="816" t="s">
        <v>916</v>
      </c>
      <c r="V109" s="722">
        <v>5238</v>
      </c>
      <c r="W109" s="816" t="s">
        <v>916</v>
      </c>
      <c r="X109" s="816" t="s">
        <v>916</v>
      </c>
      <c r="Y109" s="816" t="s">
        <v>916</v>
      </c>
    </row>
    <row r="110" spans="1:25">
      <c r="A110" s="9" t="s">
        <v>46</v>
      </c>
      <c r="B110" s="9" t="s">
        <v>47</v>
      </c>
      <c r="C110" s="936">
        <v>31098</v>
      </c>
      <c r="D110" s="937">
        <v>2509</v>
      </c>
      <c r="E110" s="936">
        <v>4041</v>
      </c>
      <c r="F110" s="936">
        <v>2708</v>
      </c>
      <c r="G110" s="936">
        <v>36480</v>
      </c>
      <c r="H110" s="936">
        <v>4613</v>
      </c>
      <c r="I110" s="675">
        <v>3714</v>
      </c>
      <c r="J110" s="675">
        <v>4203</v>
      </c>
      <c r="K110" s="937">
        <v>12281</v>
      </c>
      <c r="L110" s="675">
        <v>30241</v>
      </c>
      <c r="M110" s="722">
        <v>2362</v>
      </c>
      <c r="N110" s="722">
        <v>11765</v>
      </c>
      <c r="O110" s="675">
        <v>35561</v>
      </c>
      <c r="P110" s="220">
        <v>1.2985333325392675E-2</v>
      </c>
      <c r="Q110" s="220">
        <v>1.1934552826158969E-2</v>
      </c>
      <c r="R110" s="640">
        <v>311197.24836773111</v>
      </c>
      <c r="S110" s="722">
        <v>2509</v>
      </c>
      <c r="T110" s="722">
        <v>4161</v>
      </c>
      <c r="U110" s="816" t="s">
        <v>916</v>
      </c>
      <c r="V110" s="722">
        <v>4564</v>
      </c>
      <c r="W110" s="816" t="s">
        <v>916</v>
      </c>
      <c r="X110" s="816" t="s">
        <v>916</v>
      </c>
      <c r="Y110" s="816" t="s">
        <v>916</v>
      </c>
    </row>
    <row r="111" spans="1:25">
      <c r="A111" s="9" t="s">
        <v>56</v>
      </c>
      <c r="B111" s="9" t="s">
        <v>63</v>
      </c>
      <c r="C111" s="936">
        <v>49896</v>
      </c>
      <c r="D111" s="937">
        <v>4055</v>
      </c>
      <c r="E111" s="936">
        <v>6374</v>
      </c>
      <c r="F111" s="936">
        <v>4353</v>
      </c>
      <c r="G111" s="936">
        <v>56000</v>
      </c>
      <c r="H111" s="936">
        <v>7350</v>
      </c>
      <c r="I111" s="675">
        <v>6357</v>
      </c>
      <c r="J111" s="675">
        <v>7179</v>
      </c>
      <c r="K111" s="937">
        <v>20348</v>
      </c>
      <c r="L111" s="675">
        <v>48442</v>
      </c>
      <c r="M111" s="722">
        <v>4238</v>
      </c>
      <c r="N111" s="722">
        <v>19802</v>
      </c>
      <c r="O111" s="675">
        <v>54459</v>
      </c>
      <c r="P111" s="220">
        <v>2.4255428252476018E-2</v>
      </c>
      <c r="Q111" s="220">
        <v>2.4190736962816133E-2</v>
      </c>
      <c r="R111" s="640">
        <v>262786.53725066001</v>
      </c>
      <c r="S111" s="722">
        <v>4055</v>
      </c>
      <c r="T111" s="722">
        <v>7404</v>
      </c>
      <c r="U111" s="816" t="s">
        <v>916</v>
      </c>
      <c r="V111" s="722">
        <v>8097</v>
      </c>
      <c r="W111" s="816" t="s">
        <v>916</v>
      </c>
      <c r="X111" s="816" t="s">
        <v>916</v>
      </c>
      <c r="Y111" s="816" t="s">
        <v>916</v>
      </c>
    </row>
    <row r="112" spans="1:25">
      <c r="A112" s="9" t="s">
        <v>57</v>
      </c>
      <c r="B112" s="9" t="s">
        <v>64</v>
      </c>
      <c r="C112" s="936">
        <v>18491</v>
      </c>
      <c r="D112" s="937">
        <v>1542</v>
      </c>
      <c r="E112" s="936">
        <v>2383</v>
      </c>
      <c r="F112" s="936">
        <v>1668</v>
      </c>
      <c r="G112" s="936">
        <v>21978</v>
      </c>
      <c r="H112" s="936">
        <v>2711</v>
      </c>
      <c r="I112" s="675">
        <v>2343</v>
      </c>
      <c r="J112" s="675">
        <v>2650</v>
      </c>
      <c r="K112" s="937">
        <v>7461</v>
      </c>
      <c r="L112" s="675">
        <v>17978</v>
      </c>
      <c r="M112" s="722">
        <v>1418</v>
      </c>
      <c r="N112" s="722">
        <v>6902</v>
      </c>
      <c r="O112" s="675">
        <v>21435</v>
      </c>
      <c r="P112" s="220">
        <v>1.0311666535728958E-2</v>
      </c>
      <c r="Q112" s="220">
        <v>1.0138579392871569E-2</v>
      </c>
      <c r="R112" s="640">
        <v>231097.46535568507</v>
      </c>
      <c r="S112" s="722">
        <v>1542</v>
      </c>
      <c r="T112" s="722">
        <v>2779</v>
      </c>
      <c r="U112" s="816" t="s">
        <v>916</v>
      </c>
      <c r="V112" s="722">
        <v>3020</v>
      </c>
      <c r="W112" s="816" t="s">
        <v>916</v>
      </c>
      <c r="X112" s="816" t="s">
        <v>916</v>
      </c>
      <c r="Y112" s="816" t="s">
        <v>916</v>
      </c>
    </row>
    <row r="113" spans="1:25">
      <c r="A113" s="9" t="s">
        <v>48</v>
      </c>
      <c r="B113" s="9" t="s">
        <v>49</v>
      </c>
      <c r="C113" s="936">
        <v>53298</v>
      </c>
      <c r="D113" s="937">
        <v>4738</v>
      </c>
      <c r="E113" s="936">
        <v>7989</v>
      </c>
      <c r="F113" s="936">
        <v>5271</v>
      </c>
      <c r="G113" s="936">
        <v>59341</v>
      </c>
      <c r="H113" s="936">
        <v>8895</v>
      </c>
      <c r="I113" s="675">
        <v>7591</v>
      </c>
      <c r="J113" s="675">
        <v>8362</v>
      </c>
      <c r="K113" s="937">
        <v>23230</v>
      </c>
      <c r="L113" s="675">
        <v>50759</v>
      </c>
      <c r="M113" s="722">
        <v>4355</v>
      </c>
      <c r="N113" s="722">
        <v>20738</v>
      </c>
      <c r="O113" s="675">
        <v>56803</v>
      </c>
      <c r="P113" s="220">
        <v>2.8953243775689891E-2</v>
      </c>
      <c r="Q113" s="220">
        <v>2.7510836587966197E-2</v>
      </c>
      <c r="R113" s="640">
        <v>275927.63221604313</v>
      </c>
      <c r="S113" s="722">
        <v>4738</v>
      </c>
      <c r="T113" s="722">
        <v>7693</v>
      </c>
      <c r="U113" s="816" t="s">
        <v>916</v>
      </c>
      <c r="V113" s="722">
        <v>8922</v>
      </c>
      <c r="W113" s="816" t="s">
        <v>916</v>
      </c>
      <c r="X113" s="816" t="s">
        <v>916</v>
      </c>
      <c r="Y113" s="816" t="s">
        <v>916</v>
      </c>
    </row>
    <row r="114" spans="1:25">
      <c r="A114" s="9" t="s">
        <v>58</v>
      </c>
      <c r="B114" s="9" t="s">
        <v>65</v>
      </c>
      <c r="C114" s="936">
        <v>43540</v>
      </c>
      <c r="D114" s="937">
        <v>3629</v>
      </c>
      <c r="E114" s="936">
        <v>5172</v>
      </c>
      <c r="F114" s="936">
        <v>3420</v>
      </c>
      <c r="G114" s="936">
        <v>49854</v>
      </c>
      <c r="H114" s="936">
        <v>5973</v>
      </c>
      <c r="I114" s="675">
        <v>5294</v>
      </c>
      <c r="J114" s="675">
        <v>6049</v>
      </c>
      <c r="K114" s="937">
        <v>17481</v>
      </c>
      <c r="L114" s="675">
        <v>42158</v>
      </c>
      <c r="M114" s="722">
        <v>3694</v>
      </c>
      <c r="N114" s="722">
        <v>16949</v>
      </c>
      <c r="O114" s="675">
        <v>48291</v>
      </c>
      <c r="P114" s="220">
        <v>2.1821865795860346E-2</v>
      </c>
      <c r="Q114" s="220">
        <v>2.233661205013238E-2</v>
      </c>
      <c r="R114" s="640">
        <v>237009.98110716726</v>
      </c>
      <c r="S114" s="722">
        <v>3629</v>
      </c>
      <c r="T114" s="722">
        <v>5897</v>
      </c>
      <c r="U114" s="816" t="s">
        <v>916</v>
      </c>
      <c r="V114" s="722">
        <v>7073</v>
      </c>
      <c r="W114" s="816" t="s">
        <v>916</v>
      </c>
      <c r="X114" s="816" t="s">
        <v>916</v>
      </c>
      <c r="Y114" s="816" t="s">
        <v>916</v>
      </c>
    </row>
    <row r="115" spans="1:25">
      <c r="A115" s="9" t="s">
        <v>254</v>
      </c>
      <c r="B115" s="9" t="s">
        <v>234</v>
      </c>
      <c r="C115" s="936">
        <v>123207</v>
      </c>
      <c r="D115" s="937">
        <v>10131</v>
      </c>
      <c r="E115" s="936">
        <v>15392</v>
      </c>
      <c r="F115" s="936">
        <v>9930</v>
      </c>
      <c r="G115" s="936">
        <v>137156</v>
      </c>
      <c r="H115" s="936">
        <v>17496</v>
      </c>
      <c r="I115" s="675">
        <v>15161</v>
      </c>
      <c r="J115" s="675">
        <v>17329</v>
      </c>
      <c r="K115" s="937">
        <v>49199</v>
      </c>
      <c r="L115" s="675">
        <v>119039</v>
      </c>
      <c r="M115" s="722">
        <v>10284</v>
      </c>
      <c r="N115" s="722">
        <v>48290</v>
      </c>
      <c r="O115" s="675">
        <v>132622</v>
      </c>
      <c r="P115" s="220">
        <v>3.1482261734778645E-2</v>
      </c>
      <c r="Q115" s="220">
        <v>3.1009782364928469E-2</v>
      </c>
      <c r="R115" s="640">
        <v>488910.23553737771</v>
      </c>
      <c r="S115" s="722">
        <v>10131</v>
      </c>
      <c r="T115" s="722">
        <v>16876</v>
      </c>
      <c r="U115" s="816" t="s">
        <v>916</v>
      </c>
      <c r="V115" s="722">
        <v>19303</v>
      </c>
      <c r="W115" s="816" t="s">
        <v>916</v>
      </c>
      <c r="X115" s="816" t="s">
        <v>916</v>
      </c>
      <c r="Y115" s="816" t="s">
        <v>916</v>
      </c>
    </row>
    <row r="116" spans="1:25">
      <c r="A116" s="9" t="s">
        <v>255</v>
      </c>
      <c r="B116" s="9" t="s">
        <v>235</v>
      </c>
      <c r="C116" s="936">
        <v>160956</v>
      </c>
      <c r="D116" s="937">
        <v>13482</v>
      </c>
      <c r="E116" s="936">
        <v>20642</v>
      </c>
      <c r="F116" s="936">
        <v>12880</v>
      </c>
      <c r="G116" s="936">
        <v>181575</v>
      </c>
      <c r="H116" s="936">
        <v>23507</v>
      </c>
      <c r="I116" s="675">
        <v>19990</v>
      </c>
      <c r="J116" s="675">
        <v>22627</v>
      </c>
      <c r="K116" s="937">
        <v>65333</v>
      </c>
      <c r="L116" s="675">
        <v>155836</v>
      </c>
      <c r="M116" s="722">
        <v>13041</v>
      </c>
      <c r="N116" s="722">
        <v>63308</v>
      </c>
      <c r="O116" s="675">
        <v>176168</v>
      </c>
      <c r="P116" s="220">
        <v>2.3256803874180783E-2</v>
      </c>
      <c r="Q116" s="220">
        <v>2.252221245251787E-2</v>
      </c>
      <c r="R116" s="640">
        <v>887568.21924771508</v>
      </c>
      <c r="S116" s="722">
        <v>13482</v>
      </c>
      <c r="T116" s="722">
        <v>21789</v>
      </c>
      <c r="U116" s="816" t="s">
        <v>916</v>
      </c>
      <c r="V116" s="722">
        <v>25115</v>
      </c>
      <c r="W116" s="816" t="s">
        <v>916</v>
      </c>
      <c r="X116" s="816" t="s">
        <v>916</v>
      </c>
      <c r="Y116" s="816" t="s">
        <v>916</v>
      </c>
    </row>
    <row r="117" spans="1:25">
      <c r="A117" s="9" t="s">
        <v>256</v>
      </c>
      <c r="B117" s="9" t="s">
        <v>236</v>
      </c>
      <c r="C117" s="936">
        <v>89759</v>
      </c>
      <c r="D117" s="937">
        <v>7590</v>
      </c>
      <c r="E117" s="936">
        <v>13034</v>
      </c>
      <c r="F117" s="936">
        <v>8870</v>
      </c>
      <c r="G117" s="936">
        <v>102651</v>
      </c>
      <c r="H117" s="936">
        <v>14661</v>
      </c>
      <c r="I117" s="675">
        <v>12019</v>
      </c>
      <c r="J117" s="675">
        <v>13433</v>
      </c>
      <c r="K117" s="937">
        <v>37567</v>
      </c>
      <c r="L117" s="675">
        <v>86283</v>
      </c>
      <c r="M117" s="722">
        <v>7136</v>
      </c>
      <c r="N117" s="722">
        <v>35303</v>
      </c>
      <c r="O117" s="675">
        <v>98998</v>
      </c>
      <c r="P117" s="220">
        <v>1.9766265254471733E-2</v>
      </c>
      <c r="Q117" s="220">
        <v>1.8227001848511257E-2</v>
      </c>
      <c r="R117" s="640">
        <v>659406.30828331679</v>
      </c>
      <c r="S117" s="722">
        <v>7590</v>
      </c>
      <c r="T117" s="722">
        <v>12702</v>
      </c>
      <c r="U117" s="816" t="s">
        <v>916</v>
      </c>
      <c r="V117" s="722">
        <v>14522</v>
      </c>
      <c r="W117" s="816" t="s">
        <v>916</v>
      </c>
      <c r="X117" s="816" t="s">
        <v>916</v>
      </c>
      <c r="Y117" s="816" t="s">
        <v>916</v>
      </c>
    </row>
    <row r="118" spans="1:25">
      <c r="A118" s="9" t="s">
        <v>71</v>
      </c>
      <c r="B118" s="9" t="s">
        <v>114</v>
      </c>
      <c r="C118" s="936">
        <v>112359</v>
      </c>
      <c r="D118" s="937">
        <v>18552</v>
      </c>
      <c r="E118" s="936">
        <v>17496</v>
      </c>
      <c r="F118" s="936">
        <v>12271</v>
      </c>
      <c r="G118" s="936">
        <v>128364</v>
      </c>
      <c r="H118" s="936">
        <v>19801</v>
      </c>
      <c r="I118" s="675">
        <v>16597</v>
      </c>
      <c r="J118" s="675">
        <v>18794</v>
      </c>
      <c r="K118" s="937">
        <v>93574</v>
      </c>
      <c r="L118" s="675">
        <v>106890</v>
      </c>
      <c r="M118" s="722">
        <v>16966</v>
      </c>
      <c r="N118" s="722">
        <v>83640</v>
      </c>
      <c r="O118" s="675">
        <v>122419</v>
      </c>
      <c r="P118" s="220">
        <v>2.4037398593434855E-2</v>
      </c>
      <c r="Q118" s="220">
        <v>2.2802280775905251E-2</v>
      </c>
      <c r="R118" s="640">
        <v>727865.7851427627</v>
      </c>
      <c r="S118" s="722">
        <v>18552</v>
      </c>
      <c r="T118" s="722">
        <v>30432</v>
      </c>
      <c r="U118" s="816" t="s">
        <v>916</v>
      </c>
      <c r="V118" s="722">
        <v>32564</v>
      </c>
      <c r="W118" s="816" t="s">
        <v>916</v>
      </c>
      <c r="X118" s="816" t="s">
        <v>916</v>
      </c>
      <c r="Y118" s="816" t="s">
        <v>916</v>
      </c>
    </row>
    <row r="119" spans="1:25">
      <c r="A119" s="9" t="s">
        <v>257</v>
      </c>
      <c r="B119" s="9" t="s">
        <v>237</v>
      </c>
      <c r="C119" s="936">
        <v>96318</v>
      </c>
      <c r="D119" s="937">
        <v>8493</v>
      </c>
      <c r="E119" s="936">
        <v>13234</v>
      </c>
      <c r="F119" s="936">
        <v>8826</v>
      </c>
      <c r="G119" s="936">
        <v>107978</v>
      </c>
      <c r="H119" s="936">
        <v>14984</v>
      </c>
      <c r="I119" s="675">
        <v>12999</v>
      </c>
      <c r="J119" s="675">
        <v>14555</v>
      </c>
      <c r="K119" s="937">
        <v>41251</v>
      </c>
      <c r="L119" s="675">
        <v>92333</v>
      </c>
      <c r="M119" s="722">
        <v>7919</v>
      </c>
      <c r="N119" s="722">
        <v>37200</v>
      </c>
      <c r="O119" s="675">
        <v>103963</v>
      </c>
      <c r="P119" s="220">
        <v>2.7040478826717219E-2</v>
      </c>
      <c r="Q119" s="220">
        <v>2.6560313153128089E-2</v>
      </c>
      <c r="R119" s="640">
        <v>489414.41032930999</v>
      </c>
      <c r="S119" s="722">
        <v>8493</v>
      </c>
      <c r="T119" s="722">
        <v>13779</v>
      </c>
      <c r="U119" s="816" t="s">
        <v>916</v>
      </c>
      <c r="V119" s="722">
        <v>16192</v>
      </c>
      <c r="W119" s="816" t="s">
        <v>916</v>
      </c>
      <c r="X119" s="816" t="s">
        <v>916</v>
      </c>
      <c r="Y119" s="816" t="s">
        <v>916</v>
      </c>
    </row>
    <row r="120" spans="1:25">
      <c r="A120" s="9" t="s">
        <v>258</v>
      </c>
      <c r="B120" s="9" t="s">
        <v>238</v>
      </c>
      <c r="C120" s="936">
        <v>55090</v>
      </c>
      <c r="D120" s="937">
        <v>4473</v>
      </c>
      <c r="E120" s="936">
        <v>6677</v>
      </c>
      <c r="F120" s="936">
        <v>4443</v>
      </c>
      <c r="G120" s="936">
        <v>64320</v>
      </c>
      <c r="H120" s="936">
        <v>7791</v>
      </c>
      <c r="I120" s="675">
        <v>6254</v>
      </c>
      <c r="J120" s="675">
        <v>7143</v>
      </c>
      <c r="K120" s="937">
        <v>21671</v>
      </c>
      <c r="L120" s="675">
        <v>53415</v>
      </c>
      <c r="M120" s="722">
        <v>4045</v>
      </c>
      <c r="N120" s="722">
        <v>20015</v>
      </c>
      <c r="O120" s="675">
        <v>62462</v>
      </c>
      <c r="P120" s="220">
        <v>1.3650078792439582E-2</v>
      </c>
      <c r="Q120" s="220">
        <v>1.2785321666604335E-2</v>
      </c>
      <c r="R120" s="640">
        <v>489154.68559040216</v>
      </c>
      <c r="S120" s="722">
        <v>4473</v>
      </c>
      <c r="T120" s="722">
        <v>6360</v>
      </c>
      <c r="U120" s="816" t="s">
        <v>916</v>
      </c>
      <c r="V120" s="722">
        <v>7352</v>
      </c>
      <c r="W120" s="816" t="s">
        <v>916</v>
      </c>
      <c r="X120" s="816" t="s">
        <v>916</v>
      </c>
      <c r="Y120" s="816" t="s">
        <v>916</v>
      </c>
    </row>
    <row r="121" spans="1:25">
      <c r="A121" s="9" t="s">
        <v>259</v>
      </c>
      <c r="B121" s="9" t="s">
        <v>239</v>
      </c>
      <c r="C121" s="936">
        <v>80505</v>
      </c>
      <c r="D121" s="937">
        <v>6624</v>
      </c>
      <c r="E121" s="936">
        <v>10149</v>
      </c>
      <c r="F121" s="936">
        <v>7176</v>
      </c>
      <c r="G121" s="936">
        <v>91027</v>
      </c>
      <c r="H121" s="936">
        <v>11471</v>
      </c>
      <c r="I121" s="675">
        <v>10092</v>
      </c>
      <c r="J121" s="675">
        <v>11239</v>
      </c>
      <c r="K121" s="937">
        <v>32004</v>
      </c>
      <c r="L121" s="675">
        <v>77841</v>
      </c>
      <c r="M121" s="722">
        <v>6028</v>
      </c>
      <c r="N121" s="722">
        <v>30622</v>
      </c>
      <c r="O121" s="675">
        <v>88159</v>
      </c>
      <c r="P121" s="220">
        <v>1.7153375028943946E-2</v>
      </c>
      <c r="Q121" s="220">
        <v>1.7057036239245472E-2</v>
      </c>
      <c r="R121" s="640">
        <v>591661.98971776501</v>
      </c>
      <c r="S121" s="722">
        <v>6624</v>
      </c>
      <c r="T121" s="722">
        <v>10249</v>
      </c>
      <c r="U121" s="816" t="s">
        <v>916</v>
      </c>
      <c r="V121" s="722">
        <v>12150</v>
      </c>
      <c r="W121" s="816" t="s">
        <v>916</v>
      </c>
      <c r="X121" s="816" t="s">
        <v>916</v>
      </c>
      <c r="Y121" s="816" t="s">
        <v>916</v>
      </c>
    </row>
    <row r="122" spans="1:25">
      <c r="A122" s="9" t="s">
        <v>260</v>
      </c>
      <c r="B122" s="9" t="s">
        <v>240</v>
      </c>
      <c r="C122" s="936">
        <v>80474</v>
      </c>
      <c r="D122" s="937">
        <v>6319</v>
      </c>
      <c r="E122" s="936">
        <v>10212</v>
      </c>
      <c r="F122" s="936">
        <v>6963</v>
      </c>
      <c r="G122" s="936">
        <v>93631</v>
      </c>
      <c r="H122" s="936">
        <v>11892</v>
      </c>
      <c r="I122" s="675">
        <v>9707</v>
      </c>
      <c r="J122" s="675">
        <v>11289</v>
      </c>
      <c r="K122" s="937">
        <v>31623</v>
      </c>
      <c r="L122" s="675">
        <v>77064</v>
      </c>
      <c r="M122" s="722">
        <v>6098</v>
      </c>
      <c r="N122" s="722">
        <v>29793</v>
      </c>
      <c r="O122" s="675">
        <v>89858</v>
      </c>
      <c r="P122" s="220">
        <v>1.5917210394577261E-2</v>
      </c>
      <c r="Q122" s="220">
        <v>1.5130078466525801E-2</v>
      </c>
      <c r="R122" s="640">
        <v>641569.70642789674</v>
      </c>
      <c r="S122" s="722">
        <v>6319</v>
      </c>
      <c r="T122" s="722">
        <v>9648</v>
      </c>
      <c r="U122" s="816" t="s">
        <v>916</v>
      </c>
      <c r="V122" s="722">
        <v>10799</v>
      </c>
      <c r="W122" s="816" t="s">
        <v>916</v>
      </c>
      <c r="X122" s="816" t="s">
        <v>916</v>
      </c>
      <c r="Y122" s="816" t="s">
        <v>916</v>
      </c>
    </row>
    <row r="123" spans="1:25">
      <c r="A123" s="9" t="s">
        <v>261</v>
      </c>
      <c r="B123" s="9" t="s">
        <v>241</v>
      </c>
      <c r="C123" s="936">
        <v>123689</v>
      </c>
      <c r="D123" s="937">
        <v>10308</v>
      </c>
      <c r="E123" s="936">
        <v>16551</v>
      </c>
      <c r="F123" s="936">
        <v>11104</v>
      </c>
      <c r="G123" s="936">
        <v>143116</v>
      </c>
      <c r="H123" s="936">
        <v>18772</v>
      </c>
      <c r="I123" s="675">
        <v>15341</v>
      </c>
      <c r="J123" s="675">
        <v>17103</v>
      </c>
      <c r="K123" s="937">
        <v>49848</v>
      </c>
      <c r="L123" s="675">
        <v>119279</v>
      </c>
      <c r="M123" s="722">
        <v>9304</v>
      </c>
      <c r="N123" s="722">
        <v>45959</v>
      </c>
      <c r="O123" s="675">
        <v>138389</v>
      </c>
      <c r="P123" s="220">
        <v>1.4046016620755919E-2</v>
      </c>
      <c r="Q123" s="220">
        <v>1.3019149355266543E-2</v>
      </c>
      <c r="R123" s="640">
        <v>1178341.1942957868</v>
      </c>
      <c r="S123" s="722">
        <v>10308</v>
      </c>
      <c r="T123" s="722">
        <v>16868</v>
      </c>
      <c r="U123" s="816" t="s">
        <v>916</v>
      </c>
      <c r="V123" s="722">
        <v>17771</v>
      </c>
      <c r="W123" s="816" t="s">
        <v>916</v>
      </c>
      <c r="X123" s="816" t="s">
        <v>916</v>
      </c>
      <c r="Y123" s="816" t="s">
        <v>916</v>
      </c>
    </row>
    <row r="124" spans="1:25">
      <c r="A124" s="9" t="s">
        <v>262</v>
      </c>
      <c r="B124" s="9" t="s">
        <v>247</v>
      </c>
      <c r="C124" s="936">
        <v>57012</v>
      </c>
      <c r="D124" s="937">
        <v>4681</v>
      </c>
      <c r="E124" s="936">
        <v>6296</v>
      </c>
      <c r="F124" s="936">
        <v>4358</v>
      </c>
      <c r="G124" s="936">
        <v>67353</v>
      </c>
      <c r="H124" s="936">
        <v>7352</v>
      </c>
      <c r="I124" s="675">
        <v>6717</v>
      </c>
      <c r="J124" s="675">
        <v>7666</v>
      </c>
      <c r="K124" s="937">
        <v>22467</v>
      </c>
      <c r="L124" s="675">
        <v>55618</v>
      </c>
      <c r="M124" s="722">
        <v>4301</v>
      </c>
      <c r="N124" s="722">
        <v>20833</v>
      </c>
      <c r="O124" s="675">
        <v>65850</v>
      </c>
      <c r="P124" s="220">
        <v>9.7675388216203751E-3</v>
      </c>
      <c r="Q124" s="220">
        <v>1.0420673167856427E-2</v>
      </c>
      <c r="R124" s="640">
        <v>644584.07742018392</v>
      </c>
      <c r="S124" s="722">
        <v>4681</v>
      </c>
      <c r="T124" s="722">
        <v>7557</v>
      </c>
      <c r="U124" s="816" t="s">
        <v>916</v>
      </c>
      <c r="V124" s="722">
        <v>8769</v>
      </c>
      <c r="W124" s="816" t="s">
        <v>916</v>
      </c>
      <c r="X124" s="816" t="s">
        <v>916</v>
      </c>
      <c r="Y124" s="816" t="s">
        <v>916</v>
      </c>
    </row>
    <row r="125" spans="1:25">
      <c r="A125" s="9" t="s">
        <v>263</v>
      </c>
      <c r="B125" s="9" t="s">
        <v>242</v>
      </c>
      <c r="C125" s="936">
        <v>66937</v>
      </c>
      <c r="D125" s="937">
        <v>5466</v>
      </c>
      <c r="E125" s="936">
        <v>7779</v>
      </c>
      <c r="F125" s="936">
        <v>5039</v>
      </c>
      <c r="G125" s="936">
        <v>76143</v>
      </c>
      <c r="H125" s="936">
        <v>8740</v>
      </c>
      <c r="I125" s="675">
        <v>7118</v>
      </c>
      <c r="J125" s="675">
        <v>8067</v>
      </c>
      <c r="K125" s="937">
        <v>26840</v>
      </c>
      <c r="L125" s="675">
        <v>65575</v>
      </c>
      <c r="M125" s="722">
        <v>5201</v>
      </c>
      <c r="N125" s="722">
        <v>24882</v>
      </c>
      <c r="O125" s="675">
        <v>74577</v>
      </c>
      <c r="P125" s="220">
        <v>1.4218884927091125E-2</v>
      </c>
      <c r="Q125" s="220">
        <v>1.301067269713776E-2</v>
      </c>
      <c r="R125" s="640">
        <v>547089.31395729457</v>
      </c>
      <c r="S125" s="722">
        <v>5466</v>
      </c>
      <c r="T125" s="722">
        <v>8125</v>
      </c>
      <c r="U125" s="816" t="s">
        <v>916</v>
      </c>
      <c r="V125" s="722">
        <v>9199</v>
      </c>
      <c r="W125" s="816" t="s">
        <v>916</v>
      </c>
      <c r="X125" s="816" t="s">
        <v>916</v>
      </c>
      <c r="Y125" s="816" t="s">
        <v>916</v>
      </c>
    </row>
    <row r="126" spans="1:25">
      <c r="A126" s="9" t="s">
        <v>264</v>
      </c>
      <c r="B126" s="9" t="s">
        <v>243</v>
      </c>
      <c r="C126" s="936">
        <v>135912</v>
      </c>
      <c r="D126" s="937">
        <v>10842</v>
      </c>
      <c r="E126" s="936">
        <v>20729</v>
      </c>
      <c r="F126" s="936">
        <v>13711</v>
      </c>
      <c r="G126" s="936">
        <v>155133</v>
      </c>
      <c r="H126" s="936">
        <v>23081</v>
      </c>
      <c r="I126" s="675">
        <v>18908</v>
      </c>
      <c r="J126" s="675">
        <v>21080</v>
      </c>
      <c r="K126" s="937">
        <v>55359</v>
      </c>
      <c r="L126" s="675">
        <v>129227</v>
      </c>
      <c r="M126" s="722">
        <v>10124</v>
      </c>
      <c r="N126" s="722">
        <v>52981</v>
      </c>
      <c r="O126" s="675">
        <v>148079</v>
      </c>
      <c r="P126" s="220">
        <v>2.3972084612915664E-2</v>
      </c>
      <c r="Q126" s="220">
        <v>2.1866186302330521E-2</v>
      </c>
      <c r="R126" s="640">
        <v>864714.11788825586</v>
      </c>
      <c r="S126" s="722">
        <v>10842</v>
      </c>
      <c r="T126" s="722">
        <v>18332</v>
      </c>
      <c r="U126" s="816" t="s">
        <v>916</v>
      </c>
      <c r="V126" s="722">
        <v>19653</v>
      </c>
      <c r="W126" s="816" t="s">
        <v>916</v>
      </c>
      <c r="X126" s="816" t="s">
        <v>916</v>
      </c>
      <c r="Y126" s="816" t="s">
        <v>916</v>
      </c>
    </row>
    <row r="127" spans="1:25">
      <c r="A127" s="9" t="s">
        <v>265</v>
      </c>
      <c r="B127" s="9" t="s">
        <v>244</v>
      </c>
      <c r="C127" s="936">
        <v>55676</v>
      </c>
      <c r="D127" s="937">
        <v>4381</v>
      </c>
      <c r="E127" s="936">
        <v>6618</v>
      </c>
      <c r="F127" s="936">
        <v>4490</v>
      </c>
      <c r="G127" s="936">
        <v>66077</v>
      </c>
      <c r="H127" s="936">
        <v>7691</v>
      </c>
      <c r="I127" s="675">
        <v>6294</v>
      </c>
      <c r="J127" s="675">
        <v>7244</v>
      </c>
      <c r="K127" s="937">
        <v>21217</v>
      </c>
      <c r="L127" s="675">
        <v>54252</v>
      </c>
      <c r="M127" s="722">
        <v>4036</v>
      </c>
      <c r="N127" s="722">
        <v>20490</v>
      </c>
      <c r="O127" s="675">
        <v>64533</v>
      </c>
      <c r="P127" s="220">
        <v>1.145634438971347E-2</v>
      </c>
      <c r="Q127" s="220">
        <v>1.0895471681604199E-2</v>
      </c>
      <c r="R127" s="640">
        <v>577671.18156313733</v>
      </c>
      <c r="S127" s="722">
        <v>4381</v>
      </c>
      <c r="T127" s="722">
        <v>6854</v>
      </c>
      <c r="U127" s="816" t="s">
        <v>916</v>
      </c>
      <c r="V127" s="722">
        <v>7749</v>
      </c>
      <c r="W127" s="816" t="s">
        <v>916</v>
      </c>
      <c r="X127" s="816" t="s">
        <v>916</v>
      </c>
      <c r="Y127" s="816" t="s">
        <v>916</v>
      </c>
    </row>
    <row r="128" spans="1:25">
      <c r="A128" s="9" t="s">
        <v>266</v>
      </c>
      <c r="B128" s="9" t="s">
        <v>245</v>
      </c>
      <c r="C128" s="936">
        <v>92552</v>
      </c>
      <c r="D128" s="937">
        <v>7530</v>
      </c>
      <c r="E128" s="936">
        <v>11707</v>
      </c>
      <c r="F128" s="936">
        <v>7961</v>
      </c>
      <c r="G128" s="936">
        <v>104565</v>
      </c>
      <c r="H128" s="936">
        <v>13557</v>
      </c>
      <c r="I128" s="675">
        <v>11485</v>
      </c>
      <c r="J128" s="675">
        <v>13120</v>
      </c>
      <c r="K128" s="937">
        <v>37839</v>
      </c>
      <c r="L128" s="675">
        <v>89821</v>
      </c>
      <c r="M128" s="722">
        <v>7993</v>
      </c>
      <c r="N128" s="722">
        <v>36857</v>
      </c>
      <c r="O128" s="675">
        <v>101654</v>
      </c>
      <c r="P128" s="220">
        <v>2.6315831252864644E-2</v>
      </c>
      <c r="Q128" s="220">
        <v>2.5816803787405009E-2</v>
      </c>
      <c r="R128" s="640">
        <v>444865.29372791975</v>
      </c>
      <c r="S128" s="722">
        <v>7530</v>
      </c>
      <c r="T128" s="722">
        <v>13523</v>
      </c>
      <c r="U128" s="816" t="s">
        <v>916</v>
      </c>
      <c r="V128" s="722">
        <v>14324</v>
      </c>
      <c r="W128" s="816" t="s">
        <v>916</v>
      </c>
      <c r="X128" s="816" t="s">
        <v>916</v>
      </c>
      <c r="Y128" s="816" t="s">
        <v>916</v>
      </c>
    </row>
    <row r="129" spans="1:25">
      <c r="A129" s="9" t="s">
        <v>267</v>
      </c>
      <c r="B129" s="9" t="s">
        <v>246</v>
      </c>
      <c r="C129" s="936">
        <v>46738</v>
      </c>
      <c r="D129" s="937">
        <v>3922</v>
      </c>
      <c r="E129" s="936">
        <v>5489</v>
      </c>
      <c r="F129" s="936">
        <v>3685</v>
      </c>
      <c r="G129" s="936">
        <v>53800</v>
      </c>
      <c r="H129" s="936">
        <v>6374</v>
      </c>
      <c r="I129" s="675">
        <v>5529</v>
      </c>
      <c r="J129" s="675">
        <v>6413</v>
      </c>
      <c r="K129" s="937">
        <v>18531</v>
      </c>
      <c r="L129" s="675">
        <v>45500</v>
      </c>
      <c r="M129" s="722">
        <v>3979</v>
      </c>
      <c r="N129" s="722">
        <v>18074</v>
      </c>
      <c r="O129" s="675">
        <v>52355</v>
      </c>
      <c r="P129" s="220">
        <v>2.2211835122202997E-2</v>
      </c>
      <c r="Q129" s="220">
        <v>2.2373699469969099E-2</v>
      </c>
      <c r="R129" s="640">
        <v>247120.50894494457</v>
      </c>
      <c r="S129" s="722">
        <v>3922</v>
      </c>
      <c r="T129" s="722">
        <v>6129</v>
      </c>
      <c r="U129" s="816" t="s">
        <v>916</v>
      </c>
      <c r="V129" s="722">
        <v>7601</v>
      </c>
      <c r="W129" s="816" t="s">
        <v>916</v>
      </c>
      <c r="X129" s="816" t="s">
        <v>916</v>
      </c>
      <c r="Y129" s="816" t="s">
        <v>916</v>
      </c>
    </row>
    <row r="130" spans="1:25">
      <c r="A130" s="9" t="s">
        <v>73</v>
      </c>
      <c r="B130" s="9" t="s">
        <v>74</v>
      </c>
      <c r="C130" s="936">
        <v>23748</v>
      </c>
      <c r="D130" s="937">
        <v>18622</v>
      </c>
      <c r="E130" s="936">
        <v>2400</v>
      </c>
      <c r="F130" s="936">
        <v>1673</v>
      </c>
      <c r="G130" s="936">
        <v>28344</v>
      </c>
      <c r="H130" s="936">
        <v>2799</v>
      </c>
      <c r="I130" s="675">
        <v>30138</v>
      </c>
      <c r="J130" s="675">
        <v>34791</v>
      </c>
      <c r="K130" s="937">
        <v>93094</v>
      </c>
      <c r="L130" s="675">
        <v>224812</v>
      </c>
      <c r="M130" s="722">
        <v>17841</v>
      </c>
      <c r="N130" s="722">
        <v>84831</v>
      </c>
      <c r="O130" s="675">
        <v>260279</v>
      </c>
      <c r="P130" s="220">
        <v>1.5652627638926991E-3</v>
      </c>
      <c r="Q130" s="220">
        <v>1.9655787157582569E-2</v>
      </c>
      <c r="R130" s="640">
        <v>1533288.8862898443</v>
      </c>
      <c r="S130" s="722">
        <v>18622</v>
      </c>
      <c r="T130" s="722">
        <v>29455</v>
      </c>
      <c r="U130" s="816" t="s">
        <v>916</v>
      </c>
      <c r="V130" s="722">
        <v>32389</v>
      </c>
      <c r="W130" s="816" t="s">
        <v>916</v>
      </c>
      <c r="X130" s="816" t="s">
        <v>916</v>
      </c>
      <c r="Y130" s="816" t="s">
        <v>916</v>
      </c>
    </row>
    <row r="131" spans="1:25">
      <c r="A131" s="87" t="s">
        <v>1413</v>
      </c>
      <c r="B131" s="77" t="s">
        <v>1406</v>
      </c>
      <c r="C131" s="936">
        <v>373657</v>
      </c>
      <c r="D131" s="939">
        <v>29854</v>
      </c>
      <c r="E131" s="936">
        <v>46061</v>
      </c>
      <c r="F131" s="936">
        <v>32956</v>
      </c>
      <c r="G131" s="936">
        <v>436295</v>
      </c>
      <c r="H131" s="936">
        <v>54245</v>
      </c>
      <c r="I131" s="675">
        <v>44969</v>
      </c>
      <c r="J131" s="675">
        <v>52620</v>
      </c>
      <c r="K131" s="937">
        <v>148150</v>
      </c>
      <c r="L131" s="675">
        <v>362196</v>
      </c>
      <c r="M131" s="722">
        <v>28879</v>
      </c>
      <c r="N131" s="722">
        <v>135481</v>
      </c>
      <c r="O131" s="675">
        <v>422863</v>
      </c>
      <c r="P131" s="220">
        <v>1.7322826365410243E-2</v>
      </c>
      <c r="Q131" s="220">
        <v>1.6912142133825435E-2</v>
      </c>
      <c r="R131" s="640">
        <v>2658977.1800734187</v>
      </c>
      <c r="S131" s="722">
        <v>29854</v>
      </c>
      <c r="T131" s="722">
        <v>45812</v>
      </c>
      <c r="U131" s="816" t="s">
        <v>916</v>
      </c>
      <c r="V131" s="722">
        <v>51375</v>
      </c>
      <c r="W131" s="816" t="s">
        <v>916</v>
      </c>
      <c r="X131" s="816" t="s">
        <v>916</v>
      </c>
      <c r="Y131" s="816" t="s">
        <v>916</v>
      </c>
    </row>
    <row r="132" spans="1:25">
      <c r="A132" s="87" t="s">
        <v>69</v>
      </c>
      <c r="B132" s="87" t="s">
        <v>70</v>
      </c>
      <c r="C132" s="936">
        <v>59171</v>
      </c>
      <c r="D132" s="937">
        <v>4827</v>
      </c>
      <c r="E132" s="936">
        <v>10516</v>
      </c>
      <c r="F132" s="936">
        <v>7367</v>
      </c>
      <c r="G132" s="936">
        <v>68457</v>
      </c>
      <c r="H132" s="936">
        <v>11896</v>
      </c>
      <c r="I132" s="675">
        <v>9466</v>
      </c>
      <c r="J132" s="675">
        <v>10737</v>
      </c>
      <c r="K132" s="937">
        <v>24822</v>
      </c>
      <c r="L132" s="675">
        <v>55958</v>
      </c>
      <c r="M132" s="722">
        <v>4330</v>
      </c>
      <c r="N132" s="722">
        <v>22216</v>
      </c>
      <c r="O132" s="675">
        <v>64976</v>
      </c>
      <c r="P132" s="220">
        <v>2.8219318953767905E-2</v>
      </c>
      <c r="Q132" s="220">
        <v>2.5401680602545357E-2</v>
      </c>
      <c r="R132" s="640">
        <v>372652.50863171101</v>
      </c>
      <c r="S132" s="722">
        <v>4827</v>
      </c>
      <c r="T132" s="722">
        <v>8258</v>
      </c>
      <c r="U132" s="816" t="s">
        <v>916</v>
      </c>
      <c r="V132" s="722">
        <v>8601</v>
      </c>
      <c r="W132" s="816" t="s">
        <v>916</v>
      </c>
      <c r="X132" s="816" t="s">
        <v>916</v>
      </c>
      <c r="Y132" s="816" t="s">
        <v>916</v>
      </c>
    </row>
    <row r="133" spans="1:25">
      <c r="B133" s="77" t="s">
        <v>1141</v>
      </c>
      <c r="C133" s="936">
        <v>4195765</v>
      </c>
      <c r="D133" s="937">
        <v>340909</v>
      </c>
      <c r="E133" s="936">
        <v>538338</v>
      </c>
      <c r="F133" s="936">
        <v>355972</v>
      </c>
      <c r="G133" s="936">
        <v>4800728</v>
      </c>
      <c r="H133" s="936">
        <v>612809</v>
      </c>
      <c r="I133" s="675">
        <v>509550</v>
      </c>
      <c r="J133" s="675">
        <v>577417</v>
      </c>
      <c r="K133" s="937">
        <v>1665729</v>
      </c>
      <c r="L133" s="675">
        <v>4075482</v>
      </c>
      <c r="M133" s="722">
        <v>323430</v>
      </c>
      <c r="N133" s="722">
        <v>1723756</v>
      </c>
      <c r="O133" s="675">
        <v>4668223</v>
      </c>
      <c r="P133" s="220">
        <v>1.8030110232793217E-2</v>
      </c>
      <c r="Q133" s="220">
        <v>1.7065937513457686E-2</v>
      </c>
      <c r="R133" s="640">
        <v>29857720.948420454</v>
      </c>
      <c r="S133" s="722">
        <v>340908</v>
      </c>
      <c r="T133" s="722">
        <v>529975</v>
      </c>
      <c r="U133" s="816" t="s">
        <v>916</v>
      </c>
      <c r="V133" s="722">
        <v>601571</v>
      </c>
      <c r="W133" s="816" t="s">
        <v>916</v>
      </c>
      <c r="X133" s="816" t="s">
        <v>916</v>
      </c>
      <c r="Y133" s="816" t="s">
        <v>916</v>
      </c>
    </row>
    <row r="134" spans="1:25">
      <c r="X134" s="816"/>
    </row>
    <row r="136" spans="1:25">
      <c r="A136" s="9" t="s">
        <v>1288</v>
      </c>
    </row>
    <row r="137" spans="1:25">
      <c r="A137" s="607" t="s">
        <v>1930</v>
      </c>
      <c r="B137" s="589"/>
      <c r="C137" s="589"/>
      <c r="D137" s="589"/>
      <c r="E137" s="589"/>
      <c r="F137" s="589"/>
      <c r="G137" s="589"/>
      <c r="H137" s="589"/>
      <c r="I137" s="589"/>
    </row>
    <row r="138" spans="1:25">
      <c r="A138" s="608" t="s">
        <v>1282</v>
      </c>
      <c r="B138" s="590"/>
      <c r="C138" s="590"/>
      <c r="D138" s="590"/>
      <c r="E138" s="590"/>
      <c r="F138" s="590"/>
      <c r="G138" s="590"/>
    </row>
  </sheetData>
  <hyperlinks>
    <hyperlink ref="C57" r:id="rId1" xr:uid="{00000000-0004-0000-0700-000000000000}"/>
    <hyperlink ref="A137" r:id="rId2" xr:uid="{00000000-0004-0000-0700-000001000000}"/>
    <hyperlink ref="A138" r:id="rId3" xr:uid="{00000000-0004-0000-0700-000002000000}"/>
    <hyperlink ref="K82" r:id="rId4" xr:uid="{00000000-0004-0000-0700-000003000000}"/>
  </hyperlinks>
  <pageMargins left="0.7" right="0.7" top="0.75" bottom="0.75" header="0.3" footer="0.3"/>
  <pageSetup paperSize="9"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169"/>
  <sheetViews>
    <sheetView zoomScaleNormal="100" workbookViewId="0">
      <selection activeCell="N13" sqref="N13"/>
    </sheetView>
  </sheetViews>
  <sheetFormatPr baseColWidth="10" defaultRowHeight="12" customHeight="1"/>
  <cols>
    <col min="1" max="1" width="25.7109375" style="92" customWidth="1"/>
    <col min="2" max="2" width="11.42578125" style="92"/>
    <col min="3" max="3" width="13.5703125" style="92" customWidth="1"/>
    <col min="4" max="4" width="17.7109375" style="92" customWidth="1"/>
    <col min="5" max="5" width="11.42578125" style="92"/>
    <col min="6" max="6" width="14.5703125" style="92" customWidth="1"/>
    <col min="7" max="16384" width="11.42578125" style="92"/>
  </cols>
  <sheetData>
    <row r="1" spans="1:29" ht="12" customHeight="1">
      <c r="A1" s="110"/>
      <c r="D1" s="29"/>
    </row>
    <row r="2" spans="1:29" ht="12" customHeight="1">
      <c r="A2" s="110"/>
    </row>
    <row r="3" spans="1:29" s="89" customFormat="1" ht="15">
      <c r="A3" s="88" t="s">
        <v>1400</v>
      </c>
      <c r="H3" s="676" t="s">
        <v>1399</v>
      </c>
    </row>
    <row r="4" spans="1:29" s="91" customFormat="1" ht="12" customHeight="1">
      <c r="A4" s="90"/>
    </row>
    <row r="5" spans="1:29" s="91" customFormat="1" ht="12" customHeight="1">
      <c r="A5" s="30" t="s">
        <v>1987</v>
      </c>
      <c r="B5" s="223"/>
      <c r="Q5" s="30" t="s">
        <v>1410</v>
      </c>
      <c r="R5" s="223"/>
    </row>
    <row r="6" spans="1:29" ht="12" customHeight="1">
      <c r="A6" s="92" t="s">
        <v>273</v>
      </c>
      <c r="B6" s="93" t="s">
        <v>275</v>
      </c>
      <c r="C6" s="93" t="s">
        <v>741</v>
      </c>
      <c r="D6" s="93" t="s">
        <v>277</v>
      </c>
      <c r="E6" s="93" t="s">
        <v>739</v>
      </c>
      <c r="F6" s="93" t="s">
        <v>279</v>
      </c>
      <c r="G6" s="93" t="s">
        <v>280</v>
      </c>
      <c r="H6" s="93" t="s">
        <v>281</v>
      </c>
      <c r="I6" s="93" t="s">
        <v>282</v>
      </c>
      <c r="J6" s="93" t="s">
        <v>283</v>
      </c>
      <c r="K6" s="225" t="s">
        <v>742</v>
      </c>
      <c r="L6" s="93" t="s">
        <v>740</v>
      </c>
      <c r="M6" s="93" t="s">
        <v>286</v>
      </c>
      <c r="Q6" s="92" t="s">
        <v>273</v>
      </c>
      <c r="R6" s="93" t="s">
        <v>275</v>
      </c>
      <c r="S6" s="93" t="s">
        <v>741</v>
      </c>
      <c r="T6" s="93" t="s">
        <v>277</v>
      </c>
      <c r="U6" s="93" t="s">
        <v>739</v>
      </c>
      <c r="V6" s="93" t="s">
        <v>279</v>
      </c>
      <c r="W6" s="93" t="s">
        <v>280</v>
      </c>
      <c r="X6" s="93" t="s">
        <v>281</v>
      </c>
      <c r="Y6" s="93" t="s">
        <v>282</v>
      </c>
      <c r="Z6" s="93" t="s">
        <v>283</v>
      </c>
      <c r="AA6" s="225" t="s">
        <v>742</v>
      </c>
      <c r="AB6" s="93" t="s">
        <v>740</v>
      </c>
      <c r="AC6" s="93" t="s">
        <v>286</v>
      </c>
    </row>
    <row r="7" spans="1:29" ht="12" customHeight="1">
      <c r="A7" s="92" t="s">
        <v>1402</v>
      </c>
      <c r="B7" s="29">
        <f>((B22/$N22)/B$33)</f>
        <v>0.96134125050761454</v>
      </c>
      <c r="C7" s="29">
        <f t="shared" ref="C7:M7" si="0">((C22/$N22)/C$33)</f>
        <v>1.2744254373660389</v>
      </c>
      <c r="D7" s="29">
        <f t="shared" si="0"/>
        <v>1.1727474612914131</v>
      </c>
      <c r="E7" s="29">
        <f t="shared" si="0"/>
        <v>0.9690249794067991</v>
      </c>
      <c r="F7" s="29">
        <f t="shared" si="0"/>
        <v>0.93403313047790404</v>
      </c>
      <c r="G7" s="29">
        <f t="shared" si="0"/>
        <v>1.0043762489660615</v>
      </c>
      <c r="H7" s="29">
        <f t="shared" si="0"/>
        <v>0.67139708609264059</v>
      </c>
      <c r="I7" s="29">
        <f t="shared" si="0"/>
        <v>0.69738662694127229</v>
      </c>
      <c r="J7" s="29">
        <f t="shared" si="0"/>
        <v>1.0141187932613476</v>
      </c>
      <c r="K7" s="29">
        <f t="shared" si="0"/>
        <v>0.93506402289869306</v>
      </c>
      <c r="L7" s="29">
        <f t="shared" si="0"/>
        <v>0.98491743996709125</v>
      </c>
      <c r="M7" s="29">
        <f t="shared" si="0"/>
        <v>0.94431185344790314</v>
      </c>
      <c r="Q7" s="92" t="s">
        <v>292</v>
      </c>
      <c r="R7" s="302">
        <f>((R22/$AD22)/R$33)</f>
        <v>0.87851089788788006</v>
      </c>
      <c r="S7" s="302">
        <f t="shared" ref="S7:AC7" si="1">((S22/$AD22)/S$33)</f>
        <v>1.5178280755701967</v>
      </c>
      <c r="T7" s="302">
        <f t="shared" si="1"/>
        <v>1.105912322352576</v>
      </c>
      <c r="U7" s="302">
        <f t="shared" si="1"/>
        <v>1.0532251705776841</v>
      </c>
      <c r="V7" s="302">
        <f t="shared" si="1"/>
        <v>0.78587603254853688</v>
      </c>
      <c r="W7" s="302">
        <f t="shared" si="1"/>
        <v>1.0236284726225158</v>
      </c>
      <c r="X7" s="302">
        <f t="shared" si="1"/>
        <v>0.60743751302911198</v>
      </c>
      <c r="Y7" s="302">
        <f t="shared" si="1"/>
        <v>0.80775673716701257</v>
      </c>
      <c r="Z7" s="302">
        <f t="shared" si="1"/>
        <v>0.90257074245715974</v>
      </c>
      <c r="AA7" s="302">
        <f t="shared" si="1"/>
        <v>0.73350246958440368</v>
      </c>
      <c r="AB7" s="302">
        <f t="shared" si="1"/>
        <v>1.0093939793599718</v>
      </c>
      <c r="AC7" s="302">
        <f t="shared" si="1"/>
        <v>1.0120251706215684</v>
      </c>
    </row>
    <row r="8" spans="1:29" ht="12" customHeight="1">
      <c r="A8" s="92" t="s">
        <v>508</v>
      </c>
      <c r="B8" s="29">
        <f>((B23/$N23)/B$33)</f>
        <v>2.1500435943655654</v>
      </c>
      <c r="C8" s="29">
        <f t="shared" ref="B8:M16" si="2">((C23/$N23)/C$33)</f>
        <v>1.1011164449513033</v>
      </c>
      <c r="D8" s="29">
        <f t="shared" si="2"/>
        <v>1.1817287399347127</v>
      </c>
      <c r="E8" s="29">
        <f t="shared" si="2"/>
        <v>0.92409369854968382</v>
      </c>
      <c r="F8" s="29">
        <f t="shared" si="2"/>
        <v>0.77258225736855757</v>
      </c>
      <c r="G8" s="29">
        <f t="shared" si="2"/>
        <v>1.0398086406928428</v>
      </c>
      <c r="H8" s="29">
        <f t="shared" si="2"/>
        <v>0.87857417888906886</v>
      </c>
      <c r="I8" s="29">
        <f t="shared" si="2"/>
        <v>0.67810470464562844</v>
      </c>
      <c r="J8" s="29">
        <f t="shared" si="2"/>
        <v>1.0202164348873126</v>
      </c>
      <c r="K8" s="29">
        <f t="shared" si="2"/>
        <v>0.69639551085091067</v>
      </c>
      <c r="L8" s="29">
        <f t="shared" si="2"/>
        <v>1.1291771133411121</v>
      </c>
      <c r="M8" s="29">
        <f t="shared" si="2"/>
        <v>1.0460673752442022</v>
      </c>
      <c r="Q8" s="92" t="s">
        <v>74</v>
      </c>
      <c r="R8" s="302">
        <f>((R23/$AD23)/R$33)</f>
        <v>2.1912624464139649</v>
      </c>
      <c r="S8" s="302">
        <f t="shared" ref="R8:AC16" si="3">((S23/$AD23)/S$33)</f>
        <v>0.93371808597337447</v>
      </c>
      <c r="T8" s="302">
        <f t="shared" si="3"/>
        <v>1.1660521811033182</v>
      </c>
      <c r="U8" s="302">
        <f t="shared" si="3"/>
        <v>0.97663823005331984</v>
      </c>
      <c r="V8" s="302">
        <f t="shared" si="3"/>
        <v>0.99983847300015427</v>
      </c>
      <c r="W8" s="302">
        <f t="shared" si="3"/>
        <v>1.0922013345302228</v>
      </c>
      <c r="X8" s="302">
        <f t="shared" si="3"/>
        <v>0.57562334933900039</v>
      </c>
      <c r="Y8" s="302">
        <f t="shared" si="3"/>
        <v>0.71798542748954386</v>
      </c>
      <c r="Z8" s="302">
        <f t="shared" si="3"/>
        <v>1.0294679623950795</v>
      </c>
      <c r="AA8" s="302">
        <f t="shared" si="3"/>
        <v>0.82940567526158893</v>
      </c>
      <c r="AB8" s="302">
        <f t="shared" si="3"/>
        <v>1.1292700326013665</v>
      </c>
      <c r="AC8" s="302">
        <f t="shared" si="3"/>
        <v>1.0452058877726651</v>
      </c>
    </row>
    <row r="9" spans="1:29" ht="12" customHeight="1">
      <c r="A9" s="92" t="s">
        <v>1403</v>
      </c>
      <c r="B9" s="29">
        <f t="shared" si="2"/>
        <v>2.2202322028361801</v>
      </c>
      <c r="C9" s="29">
        <f t="shared" si="2"/>
        <v>1.3604725764193248</v>
      </c>
      <c r="D9" s="29">
        <f t="shared" si="2"/>
        <v>1.0509875134871502</v>
      </c>
      <c r="E9" s="29">
        <f t="shared" si="2"/>
        <v>0.98262529973992985</v>
      </c>
      <c r="F9" s="29">
        <f t="shared" si="2"/>
        <v>0.87812111260882852</v>
      </c>
      <c r="G9" s="29">
        <f t="shared" si="2"/>
        <v>0.87462038453356927</v>
      </c>
      <c r="H9" s="29">
        <f t="shared" si="2"/>
        <v>0.42646635377510705</v>
      </c>
      <c r="I9" s="29">
        <f t="shared" si="2"/>
        <v>0.68856579439490684</v>
      </c>
      <c r="J9" s="29">
        <f t="shared" si="2"/>
        <v>0.96013478592686252</v>
      </c>
      <c r="K9" s="29">
        <f t="shared" si="2"/>
        <v>0.6475251752881126</v>
      </c>
      <c r="L9" s="29">
        <f t="shared" si="2"/>
        <v>1.1388963106462773</v>
      </c>
      <c r="M9" s="29">
        <f t="shared" si="2"/>
        <v>0.94212088698770324</v>
      </c>
      <c r="Q9" s="92" t="s">
        <v>294</v>
      </c>
      <c r="R9" s="302">
        <f>((R24/$AD24)/R$33)</f>
        <v>1.9046162388793957</v>
      </c>
      <c r="S9" s="302">
        <f t="shared" si="3"/>
        <v>1.1027908610165178</v>
      </c>
      <c r="T9" s="302">
        <f t="shared" si="3"/>
        <v>1.1694677431020912</v>
      </c>
      <c r="U9" s="302">
        <f t="shared" si="3"/>
        <v>0.93732453466526455</v>
      </c>
      <c r="V9" s="302">
        <f t="shared" si="3"/>
        <v>0.73122698864046864</v>
      </c>
      <c r="W9" s="302">
        <f t="shared" si="3"/>
        <v>1.0282019649460248</v>
      </c>
      <c r="X9" s="302">
        <f t="shared" si="3"/>
        <v>0.94680471577310876</v>
      </c>
      <c r="Y9" s="302">
        <f t="shared" si="3"/>
        <v>0.69150448823220434</v>
      </c>
      <c r="Z9" s="302">
        <f t="shared" si="3"/>
        <v>1.0194499178764072</v>
      </c>
      <c r="AA9" s="302">
        <f t="shared" si="3"/>
        <v>0.68968197227890093</v>
      </c>
      <c r="AB9" s="302">
        <f t="shared" si="3"/>
        <v>1.1372227769840335</v>
      </c>
      <c r="AC9" s="302">
        <f t="shared" si="3"/>
        <v>1.039361025997493</v>
      </c>
    </row>
    <row r="10" spans="1:29" ht="12" customHeight="1">
      <c r="A10" s="92" t="s">
        <v>1404</v>
      </c>
      <c r="B10" s="29">
        <f t="shared" si="2"/>
        <v>0.5566556841103143</v>
      </c>
      <c r="C10" s="29">
        <f t="shared" si="2"/>
        <v>1.2049134670486972</v>
      </c>
      <c r="D10" s="29">
        <f t="shared" si="2"/>
        <v>1.0432234304038934</v>
      </c>
      <c r="E10" s="29">
        <f t="shared" si="2"/>
        <v>0.96396820282874773</v>
      </c>
      <c r="F10" s="29">
        <f t="shared" si="2"/>
        <v>1.0141884749661865</v>
      </c>
      <c r="G10" s="29">
        <f t="shared" si="2"/>
        <v>0.75595941832825941</v>
      </c>
      <c r="H10" s="29">
        <f t="shared" si="2"/>
        <v>0.47843240994807479</v>
      </c>
      <c r="I10" s="29">
        <f t="shared" si="2"/>
        <v>0.73905922430317361</v>
      </c>
      <c r="J10" s="29">
        <f t="shared" si="2"/>
        <v>0.96183297866397799</v>
      </c>
      <c r="K10" s="29">
        <f t="shared" si="2"/>
        <v>0.75538858266179609</v>
      </c>
      <c r="L10" s="29">
        <f t="shared" si="2"/>
        <v>1.2870952895048762</v>
      </c>
      <c r="M10" s="29">
        <f t="shared" si="2"/>
        <v>0.87758746764833351</v>
      </c>
      <c r="Q10" s="92" t="s">
        <v>287</v>
      </c>
      <c r="R10" s="302">
        <f t="shared" si="3"/>
        <v>1.687112272939882</v>
      </c>
      <c r="S10" s="302">
        <f t="shared" si="3"/>
        <v>0.62452887761392573</v>
      </c>
      <c r="T10" s="302">
        <f t="shared" si="3"/>
        <v>1.1009625156389864</v>
      </c>
      <c r="U10" s="302">
        <f t="shared" si="3"/>
        <v>1.0411133374086463</v>
      </c>
      <c r="V10" s="302">
        <f t="shared" si="3"/>
        <v>0.81092312688851698</v>
      </c>
      <c r="W10" s="302">
        <f t="shared" si="3"/>
        <v>1.3385732271777977</v>
      </c>
      <c r="X10" s="302">
        <f>((X25/$AD25)/X$33)</f>
        <v>0.51936135001935591</v>
      </c>
      <c r="Y10" s="302">
        <f t="shared" si="3"/>
        <v>0.62826636662829072</v>
      </c>
      <c r="Z10" s="302">
        <f t="shared" si="3"/>
        <v>1.1618925695560192</v>
      </c>
      <c r="AA10" s="302">
        <f t="shared" si="3"/>
        <v>0.82929513971214874</v>
      </c>
      <c r="AB10" s="302">
        <f t="shared" si="3"/>
        <v>1.2931138561601865</v>
      </c>
      <c r="AC10" s="302">
        <f t="shared" si="3"/>
        <v>1.1447696762190238</v>
      </c>
    </row>
    <row r="11" spans="1:29" ht="12" customHeight="1">
      <c r="A11" s="92" t="s">
        <v>1405</v>
      </c>
      <c r="B11" s="29">
        <f t="shared" si="2"/>
        <v>1.1723002335784996</v>
      </c>
      <c r="C11" s="29">
        <f t="shared" si="2"/>
        <v>1.4613764091431811</v>
      </c>
      <c r="D11" s="29">
        <f t="shared" si="2"/>
        <v>1.1486467702392757</v>
      </c>
      <c r="E11" s="29">
        <f t="shared" si="2"/>
        <v>0.83439518603672724</v>
      </c>
      <c r="F11" s="29">
        <f t="shared" si="2"/>
        <v>1.0624967509100316</v>
      </c>
      <c r="G11" s="29">
        <f t="shared" si="2"/>
        <v>0.89790837725341222</v>
      </c>
      <c r="H11" s="29">
        <f t="shared" si="2"/>
        <v>0.28536200875650952</v>
      </c>
      <c r="I11" s="29">
        <f t="shared" si="2"/>
        <v>0.65343406601767506</v>
      </c>
      <c r="J11" s="29">
        <f t="shared" si="2"/>
        <v>0.99937841297916674</v>
      </c>
      <c r="K11" s="29">
        <f t="shared" si="2"/>
        <v>0.66320209653461781</v>
      </c>
      <c r="L11" s="29">
        <f t="shared" si="2"/>
        <v>1.1561569174956474</v>
      </c>
      <c r="M11" s="29">
        <f t="shared" si="2"/>
        <v>0.99622507383315917</v>
      </c>
      <c r="Q11" s="92" t="s">
        <v>288</v>
      </c>
      <c r="R11" s="302">
        <f t="shared" si="3"/>
        <v>0.99017645584745195</v>
      </c>
      <c r="S11" s="302">
        <f t="shared" si="3"/>
        <v>1.1040687799974265</v>
      </c>
      <c r="T11" s="302">
        <f t="shared" si="3"/>
        <v>1.0966393641798542</v>
      </c>
      <c r="U11" s="302">
        <f t="shared" si="3"/>
        <v>0.98417571202146648</v>
      </c>
      <c r="V11" s="302">
        <f t="shared" si="3"/>
        <v>0.80762828914479834</v>
      </c>
      <c r="W11" s="302">
        <f t="shared" si="3"/>
        <v>0.83870874881786495</v>
      </c>
      <c r="X11" s="302">
        <f t="shared" si="3"/>
        <v>0.86077355614728646</v>
      </c>
      <c r="Y11" s="302">
        <f t="shared" si="3"/>
        <v>0.62550230789757899</v>
      </c>
      <c r="Z11" s="302">
        <f t="shared" si="3"/>
        <v>0.9244709708842197</v>
      </c>
      <c r="AA11" s="302">
        <f t="shared" si="3"/>
        <v>1.0084667169238084</v>
      </c>
      <c r="AB11" s="302">
        <f t="shared" si="3"/>
        <v>1.1214687551707219</v>
      </c>
      <c r="AC11" s="302">
        <f t="shared" si="3"/>
        <v>0.99609228094542035</v>
      </c>
    </row>
    <row r="12" spans="1:29" ht="12" customHeight="1">
      <c r="A12" s="92" t="s">
        <v>1406</v>
      </c>
      <c r="B12" s="29">
        <f>((B27/$N27)/B$33)</f>
        <v>3.3480726363508975</v>
      </c>
      <c r="C12" s="29">
        <f t="shared" si="2"/>
        <v>0.98409258126977972</v>
      </c>
      <c r="D12" s="29">
        <f t="shared" si="2"/>
        <v>1.1022046108935823</v>
      </c>
      <c r="E12" s="29">
        <f t="shared" si="2"/>
        <v>0.95332117680706219</v>
      </c>
      <c r="F12" s="29">
        <f t="shared" si="2"/>
        <v>0.91559337354069659</v>
      </c>
      <c r="G12" s="29">
        <f t="shared" si="2"/>
        <v>1.0314733945723034</v>
      </c>
      <c r="H12" s="29">
        <f t="shared" si="2"/>
        <v>0.44300271388204332</v>
      </c>
      <c r="I12" s="29">
        <f t="shared" si="2"/>
        <v>0.81880173004023704</v>
      </c>
      <c r="J12" s="29">
        <f t="shared" si="2"/>
        <v>1.0191693292893003</v>
      </c>
      <c r="K12" s="29">
        <f t="shared" si="2"/>
        <v>0.69142812938699272</v>
      </c>
      <c r="L12" s="29">
        <f t="shared" si="2"/>
        <v>1.1613957088497813</v>
      </c>
      <c r="M12" s="29">
        <f t="shared" si="2"/>
        <v>1.0406402818982285</v>
      </c>
      <c r="Q12" s="92" t="s">
        <v>293</v>
      </c>
      <c r="R12" s="302">
        <f t="shared" si="3"/>
        <v>0.83734360685463183</v>
      </c>
      <c r="S12" s="302">
        <f t="shared" si="3"/>
        <v>1.141469409351701</v>
      </c>
      <c r="T12" s="302">
        <f t="shared" si="3"/>
        <v>1.0579211534270763</v>
      </c>
      <c r="U12" s="302">
        <f t="shared" si="3"/>
        <v>0.98004929862083323</v>
      </c>
      <c r="V12" s="302">
        <f t="shared" si="3"/>
        <v>0.90354272928160184</v>
      </c>
      <c r="W12" s="302">
        <f t="shared" si="3"/>
        <v>0.75560738643980851</v>
      </c>
      <c r="X12" s="302">
        <f t="shared" si="3"/>
        <v>0.57381349819498551</v>
      </c>
      <c r="Y12" s="302">
        <f t="shared" si="3"/>
        <v>0.83584299329633893</v>
      </c>
      <c r="Z12" s="302">
        <f t="shared" si="3"/>
        <v>0.92442047163189223</v>
      </c>
      <c r="AA12" s="302">
        <f t="shared" si="3"/>
        <v>0.7594563740329745</v>
      </c>
      <c r="AB12" s="302">
        <f t="shared" si="3"/>
        <v>1.2942155434808718</v>
      </c>
      <c r="AC12" s="302">
        <f t="shared" si="3"/>
        <v>0.83463373955205433</v>
      </c>
    </row>
    <row r="13" spans="1:29" ht="12" customHeight="1">
      <c r="A13" s="92" t="s">
        <v>1407</v>
      </c>
      <c r="B13" s="29">
        <f t="shared" si="2"/>
        <v>0.9389211009612366</v>
      </c>
      <c r="C13" s="29">
        <f t="shared" si="2"/>
        <v>0.96513627949349123</v>
      </c>
      <c r="D13" s="29">
        <f t="shared" si="2"/>
        <v>1.1110000672220741</v>
      </c>
      <c r="E13" s="29">
        <f t="shared" si="2"/>
        <v>0.99655770371142205</v>
      </c>
      <c r="F13" s="29">
        <f t="shared" si="2"/>
        <v>0.83354255961276191</v>
      </c>
      <c r="G13" s="29">
        <f t="shared" si="2"/>
        <v>1.0638087568273986</v>
      </c>
      <c r="H13" s="29">
        <f t="shared" si="2"/>
        <v>0.70248895604277717</v>
      </c>
      <c r="I13" s="29">
        <f t="shared" si="2"/>
        <v>0.62551373189686144</v>
      </c>
      <c r="J13" s="29">
        <f t="shared" si="2"/>
        <v>1.0310971851085304</v>
      </c>
      <c r="K13" s="29">
        <f t="shared" si="2"/>
        <v>0.90993347461743113</v>
      </c>
      <c r="L13" s="29">
        <f t="shared" si="2"/>
        <v>1.1992448218759346</v>
      </c>
      <c r="M13" s="29">
        <f t="shared" si="2"/>
        <v>1.0451040982771145</v>
      </c>
      <c r="Q13" s="92" t="s">
        <v>763</v>
      </c>
      <c r="R13" s="302">
        <f t="shared" si="3"/>
        <v>1.0253878218503767</v>
      </c>
      <c r="S13" s="302">
        <f t="shared" si="3"/>
        <v>1.6361973915293995</v>
      </c>
      <c r="T13" s="302">
        <f t="shared" si="3"/>
        <v>1.1116017796274431</v>
      </c>
      <c r="U13" s="302">
        <f t="shared" si="3"/>
        <v>0.7808254033848856</v>
      </c>
      <c r="V13" s="302">
        <f t="shared" si="3"/>
        <v>1.3733112233234699</v>
      </c>
      <c r="W13" s="302">
        <f t="shared" si="3"/>
        <v>0.72021778341485032</v>
      </c>
      <c r="X13" s="302">
        <f t="shared" si="3"/>
        <v>0.306604972658376</v>
      </c>
      <c r="Y13" s="302">
        <f t="shared" si="3"/>
        <v>0.67414656218684599</v>
      </c>
      <c r="Z13" s="302">
        <f t="shared" si="3"/>
        <v>0.90242430322767564</v>
      </c>
      <c r="AA13" s="302">
        <f t="shared" si="3"/>
        <v>0.69521766371589444</v>
      </c>
      <c r="AB13" s="302">
        <f t="shared" si="3"/>
        <v>1.0977787258859784</v>
      </c>
      <c r="AC13" s="302">
        <f t="shared" si="3"/>
        <v>0.87121663209493994</v>
      </c>
    </row>
    <row r="14" spans="1:29" ht="12" customHeight="1">
      <c r="A14" s="92" t="s">
        <v>510</v>
      </c>
      <c r="B14" s="29">
        <f>((B29/$N29)/B$33)</f>
        <v>0.91149181292347015</v>
      </c>
      <c r="C14" s="29">
        <f t="shared" si="2"/>
        <v>1.2741540907115838</v>
      </c>
      <c r="D14" s="29">
        <f t="shared" si="2"/>
        <v>1.2358651663176887</v>
      </c>
      <c r="E14" s="29">
        <f t="shared" si="2"/>
        <v>1.0682347814621109</v>
      </c>
      <c r="F14" s="29">
        <f t="shared" si="2"/>
        <v>0.89898615184192521</v>
      </c>
      <c r="G14" s="29">
        <f t="shared" si="2"/>
        <v>0.86814425249240101</v>
      </c>
      <c r="H14" s="29">
        <f t="shared" si="2"/>
        <v>0.67255070972562181</v>
      </c>
      <c r="I14" s="29">
        <f t="shared" si="2"/>
        <v>0.89442090415988296</v>
      </c>
      <c r="J14" s="29">
        <f t="shared" si="2"/>
        <v>0.95454569870315509</v>
      </c>
      <c r="K14" s="29">
        <f t="shared" si="2"/>
        <v>0.82282206206576491</v>
      </c>
      <c r="L14" s="29">
        <f t="shared" si="2"/>
        <v>1.0032767103035531</v>
      </c>
      <c r="M14" s="29">
        <f t="shared" si="2"/>
        <v>1.0224925901503295</v>
      </c>
      <c r="Q14" s="92" t="s">
        <v>289</v>
      </c>
      <c r="R14" s="302">
        <f t="shared" si="3"/>
        <v>1.6384162964987845</v>
      </c>
      <c r="S14" s="302">
        <f t="shared" si="3"/>
        <v>1.2823485076205847</v>
      </c>
      <c r="T14" s="302">
        <f t="shared" si="3"/>
        <v>1.2369676614766214</v>
      </c>
      <c r="U14" s="302">
        <f t="shared" si="3"/>
        <v>1.0946687348524695</v>
      </c>
      <c r="V14" s="302">
        <f t="shared" si="3"/>
        <v>0.88765239690749365</v>
      </c>
      <c r="W14" s="302">
        <f t="shared" si="3"/>
        <v>0.84863626605632836</v>
      </c>
      <c r="X14" s="302">
        <f t="shared" si="3"/>
        <v>0.67023427672247837</v>
      </c>
      <c r="Y14" s="302">
        <f t="shared" si="3"/>
        <v>0.89037475311220948</v>
      </c>
      <c r="Z14" s="302">
        <f t="shared" si="3"/>
        <v>0.93575751344208336</v>
      </c>
      <c r="AA14" s="302">
        <f t="shared" si="3"/>
        <v>0.73550516726601556</v>
      </c>
      <c r="AB14" s="302">
        <f t="shared" si="3"/>
        <v>0.99287297031959365</v>
      </c>
      <c r="AC14" s="302">
        <f t="shared" si="3"/>
        <v>1.0315835193297711</v>
      </c>
    </row>
    <row r="15" spans="1:29" ht="12" customHeight="1">
      <c r="A15" s="92" t="s">
        <v>290</v>
      </c>
      <c r="B15" s="29">
        <f t="shared" si="2"/>
        <v>0.22666674382430632</v>
      </c>
      <c r="C15" s="29">
        <f t="shared" si="2"/>
        <v>0.79125266370202019</v>
      </c>
      <c r="D15" s="29">
        <f t="shared" si="2"/>
        <v>1.0921461880648762</v>
      </c>
      <c r="E15" s="29">
        <f t="shared" si="2"/>
        <v>0.99002588352932086</v>
      </c>
      <c r="F15" s="29">
        <f t="shared" si="2"/>
        <v>1.2178093989749448</v>
      </c>
      <c r="G15" s="29">
        <f t="shared" si="2"/>
        <v>1.5215452989971996</v>
      </c>
      <c r="H15" s="29">
        <f t="shared" si="2"/>
        <v>0.81675751398773466</v>
      </c>
      <c r="I15" s="29">
        <f t="shared" si="2"/>
        <v>0.67219979755742132</v>
      </c>
      <c r="J15" s="29">
        <f t="shared" si="2"/>
        <v>1.0941991787838004</v>
      </c>
      <c r="K15" s="29">
        <f t="shared" si="2"/>
        <v>0.8998798126359</v>
      </c>
      <c r="L15" s="29">
        <f t="shared" si="2"/>
        <v>1.1672899539442063</v>
      </c>
      <c r="M15" s="29">
        <f t="shared" si="2"/>
        <v>1.0509377914039897</v>
      </c>
      <c r="Q15" s="92" t="s">
        <v>290</v>
      </c>
      <c r="R15" s="302">
        <f t="shared" si="3"/>
        <v>0.78420421432515242</v>
      </c>
      <c r="S15" s="302">
        <f t="shared" si="3"/>
        <v>0.77713078727432505</v>
      </c>
      <c r="T15" s="302">
        <f t="shared" si="3"/>
        <v>1.0797276375109002</v>
      </c>
      <c r="U15" s="302">
        <f t="shared" si="3"/>
        <v>1.0024381359448005</v>
      </c>
      <c r="V15" s="302">
        <f t="shared" si="3"/>
        <v>1.232057502044994</v>
      </c>
      <c r="W15" s="302">
        <f t="shared" si="3"/>
        <v>1.4881419512344907</v>
      </c>
      <c r="X15" s="302">
        <f t="shared" si="3"/>
        <v>0.79814797425087336</v>
      </c>
      <c r="Y15" s="302">
        <f t="shared" si="3"/>
        <v>0.67468514592153872</v>
      </c>
      <c r="Z15" s="302">
        <f t="shared" si="3"/>
        <v>1.0826118172744759</v>
      </c>
      <c r="AA15" s="302">
        <f t="shared" si="3"/>
        <v>0.8718583535302914</v>
      </c>
      <c r="AB15" s="302">
        <f t="shared" si="3"/>
        <v>1.1534268780830883</v>
      </c>
      <c r="AC15" s="302">
        <f t="shared" si="3"/>
        <v>1.0396188042685806</v>
      </c>
    </row>
    <row r="16" spans="1:29" ht="12" customHeight="1">
      <c r="A16" s="22" t="s">
        <v>1141</v>
      </c>
      <c r="B16" s="29">
        <f t="shared" si="2"/>
        <v>1</v>
      </c>
      <c r="C16" s="29">
        <f t="shared" si="2"/>
        <v>1</v>
      </c>
      <c r="D16" s="29">
        <f t="shared" si="2"/>
        <v>1</v>
      </c>
      <c r="E16" s="29">
        <f t="shared" si="2"/>
        <v>1</v>
      </c>
      <c r="F16" s="29">
        <f t="shared" si="2"/>
        <v>1</v>
      </c>
      <c r="G16" s="29">
        <f t="shared" si="2"/>
        <v>1</v>
      </c>
      <c r="H16" s="29">
        <f t="shared" si="2"/>
        <v>1</v>
      </c>
      <c r="I16" s="29">
        <f t="shared" si="2"/>
        <v>1</v>
      </c>
      <c r="J16" s="29">
        <f t="shared" si="2"/>
        <v>1</v>
      </c>
      <c r="K16" s="29">
        <f t="shared" si="2"/>
        <v>1</v>
      </c>
      <c r="L16" s="29">
        <f t="shared" si="2"/>
        <v>1</v>
      </c>
      <c r="M16" s="29">
        <f t="shared" si="2"/>
        <v>1</v>
      </c>
      <c r="Q16" s="22" t="s">
        <v>291</v>
      </c>
      <c r="R16" s="302">
        <f t="shared" si="3"/>
        <v>0.5144492489092648</v>
      </c>
      <c r="S16" s="302">
        <f t="shared" si="3"/>
        <v>1.3195717494338868</v>
      </c>
      <c r="T16" s="302">
        <f t="shared" si="3"/>
        <v>1.181662654911523</v>
      </c>
      <c r="U16" s="302">
        <f t="shared" si="3"/>
        <v>1.0075621022904158</v>
      </c>
      <c r="V16" s="302">
        <f t="shared" si="3"/>
        <v>0.96479146771063273</v>
      </c>
      <c r="W16" s="302">
        <f t="shared" si="3"/>
        <v>1.0234762985585164</v>
      </c>
      <c r="X16" s="302">
        <f t="shared" si="3"/>
        <v>0.73351798419288683</v>
      </c>
      <c r="Y16" s="302">
        <f t="shared" si="3"/>
        <v>0.71559441323017292</v>
      </c>
      <c r="Z16" s="302">
        <f t="shared" si="3"/>
        <v>1.0152120020715334</v>
      </c>
      <c r="AA16" s="302">
        <f t="shared" si="3"/>
        <v>0.93732727125448223</v>
      </c>
      <c r="AB16" s="302">
        <f t="shared" si="3"/>
        <v>0.94892863092989299</v>
      </c>
      <c r="AC16" s="302">
        <f t="shared" si="3"/>
        <v>0.91314132062510411</v>
      </c>
    </row>
    <row r="17" spans="1:30" ht="12" customHeight="1">
      <c r="A17" s="22"/>
      <c r="B17" s="598"/>
      <c r="C17" s="29"/>
      <c r="D17" s="29"/>
      <c r="E17" s="29"/>
      <c r="F17" s="29"/>
      <c r="G17" s="29"/>
      <c r="H17" s="29"/>
      <c r="I17" s="29"/>
      <c r="J17" s="29"/>
      <c r="K17" s="29"/>
      <c r="L17" s="29"/>
      <c r="M17" s="29"/>
      <c r="Q17" s="22"/>
      <c r="R17" s="677"/>
      <c r="S17" s="29"/>
      <c r="T17" s="29"/>
      <c r="U17" s="29"/>
      <c r="V17" s="29"/>
      <c r="W17" s="29"/>
      <c r="X17" s="29"/>
      <c r="Y17" s="29"/>
      <c r="Z17" s="29"/>
      <c r="AA17" s="29"/>
      <c r="AB17" s="29"/>
      <c r="AC17" s="29"/>
    </row>
    <row r="18" spans="1:30" ht="12" customHeight="1">
      <c r="A18" s="22"/>
      <c r="B18" s="209">
        <f>B22/$N22</f>
        <v>1.68048601398233E-2</v>
      </c>
      <c r="C18" s="209">
        <f>C22/$N22</f>
        <v>0.18224643781669866</v>
      </c>
      <c r="D18" s="209">
        <f t="shared" ref="D18:M18" si="4">D22/$N22</f>
        <v>6.3989809192480207E-2</v>
      </c>
      <c r="E18" s="209">
        <f t="shared" si="4"/>
        <v>9.6839537167290435E-2</v>
      </c>
      <c r="F18" s="209">
        <f t="shared" si="4"/>
        <v>4.4659347794455712E-2</v>
      </c>
      <c r="G18" s="209">
        <f t="shared" si="4"/>
        <v>2.834610557263139E-2</v>
      </c>
      <c r="H18" s="209">
        <f t="shared" si="4"/>
        <v>3.3897888832680953E-2</v>
      </c>
      <c r="I18" s="209">
        <f t="shared" si="4"/>
        <v>3.1313384648053222E-2</v>
      </c>
      <c r="J18" s="209">
        <f t="shared" si="4"/>
        <v>0.13085662933039374</v>
      </c>
      <c r="K18" s="209">
        <f t="shared" si="4"/>
        <v>0.12174198109593536</v>
      </c>
      <c r="L18" s="209">
        <f t="shared" si="4"/>
        <v>0.22092813348331933</v>
      </c>
      <c r="M18" s="209">
        <f t="shared" si="4"/>
        <v>2.8375884926237525E-2</v>
      </c>
      <c r="Q18" s="22"/>
      <c r="R18" s="209"/>
      <c r="S18" s="209"/>
      <c r="T18" s="209"/>
      <c r="U18" s="209"/>
      <c r="V18" s="209"/>
      <c r="W18" s="209"/>
      <c r="X18" s="209"/>
      <c r="Y18" s="209"/>
      <c r="Z18" s="209"/>
      <c r="AA18" s="209"/>
      <c r="AB18" s="209"/>
      <c r="AC18" s="209"/>
    </row>
    <row r="19" spans="1:30" s="30" customFormat="1" ht="12" customHeight="1">
      <c r="A19" s="968" t="s">
        <v>1987</v>
      </c>
      <c r="B19" s="969"/>
      <c r="C19" s="969"/>
      <c r="D19" s="969"/>
      <c r="E19" s="969"/>
      <c r="F19" s="969"/>
      <c r="G19" s="969"/>
      <c r="H19" s="969"/>
      <c r="I19" s="969"/>
      <c r="J19" s="969"/>
      <c r="K19" s="969"/>
      <c r="L19" s="969"/>
      <c r="M19" s="969"/>
      <c r="N19" s="968"/>
      <c r="Q19" s="30" t="s">
        <v>1410</v>
      </c>
      <c r="R19" s="338"/>
      <c r="S19" s="338"/>
      <c r="T19" s="338"/>
      <c r="U19" s="338"/>
      <c r="V19" s="338"/>
      <c r="W19" s="338"/>
      <c r="X19" s="338"/>
      <c r="Y19" s="338"/>
      <c r="Z19" s="338"/>
      <c r="AA19" s="338"/>
      <c r="AB19" s="338"/>
      <c r="AC19" s="338"/>
    </row>
    <row r="20" spans="1:30" ht="12" customHeight="1">
      <c r="A20" s="970" t="s">
        <v>1118</v>
      </c>
      <c r="B20" s="970" t="s">
        <v>275</v>
      </c>
      <c r="C20" s="970" t="s">
        <v>276</v>
      </c>
      <c r="D20" s="970" t="s">
        <v>277</v>
      </c>
      <c r="E20" s="970" t="s">
        <v>278</v>
      </c>
      <c r="F20" s="970" t="s">
        <v>279</v>
      </c>
      <c r="G20" s="970" t="s">
        <v>280</v>
      </c>
      <c r="H20" s="970" t="s">
        <v>281</v>
      </c>
      <c r="I20" s="970" t="s">
        <v>282</v>
      </c>
      <c r="J20" s="970" t="s">
        <v>283</v>
      </c>
      <c r="K20" s="970" t="s">
        <v>284</v>
      </c>
      <c r="L20" s="970" t="s">
        <v>285</v>
      </c>
      <c r="M20" s="970" t="s">
        <v>286</v>
      </c>
      <c r="N20" s="970"/>
      <c r="Q20" s="94" t="s">
        <v>1118</v>
      </c>
      <c r="R20" s="94" t="s">
        <v>275</v>
      </c>
      <c r="S20" s="94" t="s">
        <v>276</v>
      </c>
      <c r="T20" s="94" t="s">
        <v>277</v>
      </c>
      <c r="U20" s="94" t="s">
        <v>278</v>
      </c>
      <c r="V20" s="94" t="s">
        <v>279</v>
      </c>
      <c r="W20" s="94" t="s">
        <v>280</v>
      </c>
      <c r="X20" s="94" t="s">
        <v>281</v>
      </c>
      <c r="Y20" s="94" t="s">
        <v>282</v>
      </c>
      <c r="Z20" s="94" t="s">
        <v>283</v>
      </c>
      <c r="AA20" s="94" t="s">
        <v>284</v>
      </c>
      <c r="AB20" s="94" t="s">
        <v>285</v>
      </c>
      <c r="AC20" s="94" t="s">
        <v>286</v>
      </c>
      <c r="AD20" s="94"/>
    </row>
    <row r="21" spans="1:30" ht="12" customHeight="1">
      <c r="A21" s="970" t="s">
        <v>1119</v>
      </c>
      <c r="B21" s="970" t="s">
        <v>295</v>
      </c>
      <c r="C21" s="970" t="s">
        <v>296</v>
      </c>
      <c r="D21" s="970" t="s">
        <v>297</v>
      </c>
      <c r="E21" s="970" t="s">
        <v>298</v>
      </c>
      <c r="F21" s="970" t="s">
        <v>299</v>
      </c>
      <c r="G21" s="970" t="s">
        <v>300</v>
      </c>
      <c r="H21" s="970" t="s">
        <v>301</v>
      </c>
      <c r="I21" s="970" t="s">
        <v>302</v>
      </c>
      <c r="J21" s="970" t="s">
        <v>303</v>
      </c>
      <c r="K21" s="970" t="s">
        <v>304</v>
      </c>
      <c r="L21" s="970" t="s">
        <v>305</v>
      </c>
      <c r="M21" s="970" t="s">
        <v>306</v>
      </c>
      <c r="N21" s="970" t="s">
        <v>91</v>
      </c>
      <c r="Q21" s="94" t="s">
        <v>1119</v>
      </c>
      <c r="R21" s="94" t="s">
        <v>295</v>
      </c>
      <c r="S21" s="94" t="s">
        <v>296</v>
      </c>
      <c r="T21" s="94" t="s">
        <v>297</v>
      </c>
      <c r="U21" s="94" t="s">
        <v>298</v>
      </c>
      <c r="V21" s="94" t="s">
        <v>299</v>
      </c>
      <c r="W21" s="94" t="s">
        <v>300</v>
      </c>
      <c r="X21" s="94" t="s">
        <v>301</v>
      </c>
      <c r="Y21" s="94" t="s">
        <v>302</v>
      </c>
      <c r="Z21" s="94" t="s">
        <v>303</v>
      </c>
      <c r="AA21" s="94" t="s">
        <v>304</v>
      </c>
      <c r="AB21" s="94" t="s">
        <v>305</v>
      </c>
      <c r="AC21" s="94" t="s">
        <v>306</v>
      </c>
      <c r="AD21" s="94" t="s">
        <v>91</v>
      </c>
    </row>
    <row r="22" spans="1:30" ht="12" customHeight="1">
      <c r="A22" s="970" t="s">
        <v>1402</v>
      </c>
      <c r="B22" s="971">
        <v>3780.8030971737689</v>
      </c>
      <c r="C22" s="971">
        <v>41002.298788159154</v>
      </c>
      <c r="D22" s="971">
        <v>14396.601148090931</v>
      </c>
      <c r="E22" s="971">
        <v>21787.222208611358</v>
      </c>
      <c r="F22" s="971">
        <v>10047.58141717055</v>
      </c>
      <c r="G22" s="971">
        <v>6377.3838550343489</v>
      </c>
      <c r="H22" s="971">
        <v>7626.439138433665</v>
      </c>
      <c r="I22" s="971">
        <v>7044.9703642459481</v>
      </c>
      <c r="J22" s="971">
        <v>29440.480036228055</v>
      </c>
      <c r="K22" s="971">
        <v>27389.84170971045</v>
      </c>
      <c r="L22" s="971">
        <v>49705.011786866104</v>
      </c>
      <c r="M22" s="971">
        <v>6384.0836949264467</v>
      </c>
      <c r="N22" s="971">
        <v>224982.71724465082</v>
      </c>
      <c r="Q22" s="94" t="s">
        <v>292</v>
      </c>
      <c r="R22" s="95">
        <v>754.05869713475602</v>
      </c>
      <c r="S22" s="95">
        <v>10571.292151837994</v>
      </c>
      <c r="T22" s="95">
        <v>3201.0936431444002</v>
      </c>
      <c r="U22" s="95">
        <v>5371.489881416619</v>
      </c>
      <c r="V22" s="95">
        <v>1796.1855632530285</v>
      </c>
      <c r="W22" s="95">
        <v>1439.1762470159908</v>
      </c>
      <c r="X22" s="95">
        <v>1486.6369896739354</v>
      </c>
      <c r="Y22" s="95">
        <v>1851.988795043731</v>
      </c>
      <c r="Z22" s="95">
        <v>5810.9405505488094</v>
      </c>
      <c r="AA22" s="95">
        <v>4736.385820168266</v>
      </c>
      <c r="AB22" s="95">
        <v>11533.571658220542</v>
      </c>
      <c r="AC22" s="95">
        <v>1530.2362658635495</v>
      </c>
      <c r="AD22" s="95">
        <v>50083.056263321632</v>
      </c>
    </row>
    <row r="23" spans="1:30" ht="12" customHeight="1">
      <c r="A23" s="970" t="s">
        <v>508</v>
      </c>
      <c r="B23" s="971">
        <v>3101.1472627054768</v>
      </c>
      <c r="C23" s="971">
        <v>12992.587955505875</v>
      </c>
      <c r="D23" s="971">
        <v>5320.3709223027936</v>
      </c>
      <c r="E23" s="971">
        <v>7619.9398165603925</v>
      </c>
      <c r="F23" s="971">
        <v>3047.9835948911805</v>
      </c>
      <c r="G23" s="971">
        <v>2421.4091985440423</v>
      </c>
      <c r="H23" s="971">
        <v>3660.0703587682424</v>
      </c>
      <c r="I23" s="971">
        <v>2512.2968564942562</v>
      </c>
      <c r="J23" s="971">
        <v>10862.180454215008</v>
      </c>
      <c r="K23" s="971">
        <v>7481.2260893383454</v>
      </c>
      <c r="L23" s="971">
        <v>20899.267398837146</v>
      </c>
      <c r="M23" s="971">
        <v>2593.6503611235653</v>
      </c>
      <c r="N23" s="971">
        <v>82512.130269286325</v>
      </c>
      <c r="Q23" s="94" t="s">
        <v>74</v>
      </c>
      <c r="R23" s="95">
        <v>3172.6662766508948</v>
      </c>
      <c r="S23" s="95">
        <v>10969.662373124907</v>
      </c>
      <c r="T23" s="95">
        <v>5693.3471270969376</v>
      </c>
      <c r="U23" s="95">
        <v>8401.9336825050959</v>
      </c>
      <c r="V23" s="95">
        <v>3854.7746818622068</v>
      </c>
      <c r="W23" s="95">
        <v>2590.27768586922</v>
      </c>
      <c r="X23" s="95">
        <v>2376.3681566688942</v>
      </c>
      <c r="Y23" s="95">
        <v>2776.8050588336582</v>
      </c>
      <c r="Z23" s="95">
        <v>11180.211336661705</v>
      </c>
      <c r="AA23" s="95">
        <v>9034.0916255021475</v>
      </c>
      <c r="AB23" s="95">
        <v>21765.713486263561</v>
      </c>
      <c r="AC23" s="95">
        <v>2665.8825993658629</v>
      </c>
      <c r="AD23" s="95">
        <v>84481.73409040508</v>
      </c>
    </row>
    <row r="24" spans="1:30" ht="12" customHeight="1">
      <c r="A24" s="970" t="s">
        <v>1403</v>
      </c>
      <c r="B24" s="971">
        <v>5311.5022525004988</v>
      </c>
      <c r="C24" s="971">
        <v>26625.394857274026</v>
      </c>
      <c r="D24" s="971">
        <v>7848.1178900723844</v>
      </c>
      <c r="E24" s="971">
        <v>13439.011409094617</v>
      </c>
      <c r="F24" s="971">
        <v>5746.0071543468812</v>
      </c>
      <c r="G24" s="971">
        <v>3378.1443973726659</v>
      </c>
      <c r="H24" s="971">
        <v>2946.7250851456274</v>
      </c>
      <c r="I24" s="971">
        <v>4231.1993811792454</v>
      </c>
      <c r="J24" s="971">
        <v>16955.115441398026</v>
      </c>
      <c r="K24" s="971">
        <v>11537.649019037523</v>
      </c>
      <c r="L24" s="971">
        <v>34962.06131129877</v>
      </c>
      <c r="M24" s="971">
        <v>3874.380350859954</v>
      </c>
      <c r="N24" s="971">
        <v>136855.30854958025</v>
      </c>
      <c r="Q24" s="94" t="s">
        <v>294</v>
      </c>
      <c r="R24" s="95">
        <v>2614.7303298454535</v>
      </c>
      <c r="S24" s="95">
        <v>12284.573229453012</v>
      </c>
      <c r="T24" s="95">
        <v>5414.1134362575285</v>
      </c>
      <c r="U24" s="95">
        <v>7645.8353063201448</v>
      </c>
      <c r="V24" s="95">
        <v>2673.0728285419618</v>
      </c>
      <c r="W24" s="95">
        <v>2312.1258872637759</v>
      </c>
      <c r="X24" s="95">
        <v>3706.1684929076255</v>
      </c>
      <c r="Y24" s="95">
        <v>2535.7952890776251</v>
      </c>
      <c r="Z24" s="95">
        <v>10497.659882761351</v>
      </c>
      <c r="AA24" s="95">
        <v>7122.8826199639407</v>
      </c>
      <c r="AB24" s="95">
        <v>20783.088132981091</v>
      </c>
      <c r="AC24" s="95">
        <v>2513.5933883356879</v>
      </c>
      <c r="AD24" s="95">
        <v>80103.638823709189</v>
      </c>
    </row>
    <row r="25" spans="1:30" ht="12" customHeight="1">
      <c r="A25" s="970" t="s">
        <v>1404</v>
      </c>
      <c r="B25" s="971">
        <v>1348.2960752062434</v>
      </c>
      <c r="C25" s="971">
        <v>23874.911659977792</v>
      </c>
      <c r="D25" s="971">
        <v>7887.2379664231967</v>
      </c>
      <c r="E25" s="971">
        <v>13348.17031094425</v>
      </c>
      <c r="F25" s="971">
        <v>6719.0839009107858</v>
      </c>
      <c r="G25" s="971">
        <v>2956.2199682303904</v>
      </c>
      <c r="H25" s="971">
        <v>3346.9951948340395</v>
      </c>
      <c r="I25" s="971">
        <v>4598.0843869141081</v>
      </c>
      <c r="J25" s="971">
        <v>17196.808695642823</v>
      </c>
      <c r="K25" s="971">
        <v>13627.328695580189</v>
      </c>
      <c r="L25" s="971">
        <v>40003.979366282001</v>
      </c>
      <c r="M25" s="971">
        <v>3653.9759421886502</v>
      </c>
      <c r="N25" s="971">
        <v>138561.09216313445</v>
      </c>
      <c r="Q25" s="94" t="s">
        <v>287</v>
      </c>
      <c r="R25" s="95">
        <v>1733.440535269797</v>
      </c>
      <c r="S25" s="95">
        <v>5206.7290856832296</v>
      </c>
      <c r="T25" s="95">
        <v>3814.6717917024212</v>
      </c>
      <c r="U25" s="95">
        <v>6355.9212217679315</v>
      </c>
      <c r="V25" s="95">
        <v>2218.6245126013064</v>
      </c>
      <c r="W25" s="95">
        <v>2252.7900677665407</v>
      </c>
      <c r="X25" s="95">
        <v>1521.5278845213386</v>
      </c>
      <c r="Y25" s="95">
        <v>1724.2829743518864</v>
      </c>
      <c r="Z25" s="95">
        <v>8954.4335613566964</v>
      </c>
      <c r="AA25" s="95">
        <v>6410.0523324694359</v>
      </c>
      <c r="AB25" s="95">
        <v>17686.701114228599</v>
      </c>
      <c r="AC25" s="95">
        <v>2072.0119518619081</v>
      </c>
      <c r="AD25" s="95">
        <v>59951.187033581096</v>
      </c>
    </row>
    <row r="26" spans="1:30" ht="12" customHeight="1">
      <c r="A26" s="970" t="s">
        <v>1405</v>
      </c>
      <c r="B26" s="971">
        <v>1674.7737816632032</v>
      </c>
      <c r="C26" s="971">
        <v>17079.16707122072</v>
      </c>
      <c r="D26" s="971">
        <v>5122.1558332951699</v>
      </c>
      <c r="E26" s="971">
        <v>6814.7432808751837</v>
      </c>
      <c r="F26" s="971">
        <v>4151.8120352756268</v>
      </c>
      <c r="G26" s="971">
        <v>2071.0422899758214</v>
      </c>
      <c r="H26" s="971">
        <v>1177.4685881906403</v>
      </c>
      <c r="I26" s="971">
        <v>2397.8286636980233</v>
      </c>
      <c r="J26" s="971">
        <v>10538.937771987592</v>
      </c>
      <c r="K26" s="971">
        <v>7056.7524894448588</v>
      </c>
      <c r="L26" s="971">
        <v>21194.733267275296</v>
      </c>
      <c r="M26" s="971">
        <v>2446.5349196208531</v>
      </c>
      <c r="N26" s="971">
        <v>81725.94999252299</v>
      </c>
      <c r="Q26" s="94" t="s">
        <v>288</v>
      </c>
      <c r="R26" s="95">
        <v>1317.1852074834471</v>
      </c>
      <c r="S26" s="95">
        <v>11917.299995064406</v>
      </c>
      <c r="T26" s="95">
        <v>4919.4637177921913</v>
      </c>
      <c r="U26" s="95">
        <v>7778.9758743571492</v>
      </c>
      <c r="V26" s="95">
        <v>2860.7830854319736</v>
      </c>
      <c r="W26" s="95">
        <v>1827.5069930703876</v>
      </c>
      <c r="X26" s="95">
        <v>3264.8895311769111</v>
      </c>
      <c r="Y26" s="95">
        <v>2222.6082974514493</v>
      </c>
      <c r="Z26" s="95">
        <v>9224.3273903549689</v>
      </c>
      <c r="AA26" s="95">
        <v>10092.141021258545</v>
      </c>
      <c r="AB26" s="95">
        <v>19859.418858913123</v>
      </c>
      <c r="AC26" s="95">
        <v>2334.2265247891769</v>
      </c>
      <c r="AD26" s="95">
        <v>77618.826497143746</v>
      </c>
    </row>
    <row r="27" spans="1:30" ht="12" customHeight="1">
      <c r="A27" s="970" t="s">
        <v>1406</v>
      </c>
      <c r="B27" s="971">
        <v>8717.7877909786348</v>
      </c>
      <c r="C27" s="971">
        <v>20962.094390272843</v>
      </c>
      <c r="D27" s="971">
        <v>8958.2387858255115</v>
      </c>
      <c r="E27" s="971">
        <v>14190.936951622141</v>
      </c>
      <c r="F27" s="971">
        <v>6520.8893890842628</v>
      </c>
      <c r="G27" s="971">
        <v>4336.1978916355538</v>
      </c>
      <c r="H27" s="971">
        <v>3331.6063655610469</v>
      </c>
      <c r="I27" s="971">
        <v>5476.3254122264898</v>
      </c>
      <c r="J27" s="971">
        <v>19588.777862848594</v>
      </c>
      <c r="K27" s="971">
        <v>13409.116329566432</v>
      </c>
      <c r="L27" s="971">
        <v>38804.80543831941</v>
      </c>
      <c r="M27" s="971">
        <v>4657.8843720012892</v>
      </c>
      <c r="N27" s="971">
        <v>148954.66097994219</v>
      </c>
      <c r="Q27" s="94" t="s">
        <v>293</v>
      </c>
      <c r="R27" s="95">
        <v>1372.2027771236051</v>
      </c>
      <c r="S27" s="95">
        <v>15178.412651466964</v>
      </c>
      <c r="T27" s="95">
        <v>5846.3871070744872</v>
      </c>
      <c r="U27" s="95">
        <v>9542.8487304800619</v>
      </c>
      <c r="V27" s="95">
        <v>3942.7790297498036</v>
      </c>
      <c r="W27" s="95">
        <v>2028.2636379783414</v>
      </c>
      <c r="X27" s="95">
        <v>2681.2090149611336</v>
      </c>
      <c r="Y27" s="95">
        <v>3658.8032571256558</v>
      </c>
      <c r="Z27" s="95">
        <v>11362.955882482544</v>
      </c>
      <c r="AA27" s="95">
        <v>9362.7819311690164</v>
      </c>
      <c r="AB27" s="95">
        <v>28233.603061476308</v>
      </c>
      <c r="AC27" s="95">
        <v>2409.4598728235537</v>
      </c>
      <c r="AD27" s="95">
        <v>95619.706953911475</v>
      </c>
    </row>
    <row r="28" spans="1:30" ht="12" customHeight="1">
      <c r="A28" s="970" t="s">
        <v>1407</v>
      </c>
      <c r="B28" s="971">
        <v>2319.4445428069216</v>
      </c>
      <c r="C28" s="971">
        <v>19504.320623538624</v>
      </c>
      <c r="D28" s="971">
        <v>8566.786987596719</v>
      </c>
      <c r="E28" s="971">
        <v>14074.006682300456</v>
      </c>
      <c r="F28" s="971">
        <v>5632.1659664362232</v>
      </c>
      <c r="G28" s="971">
        <v>4242.8540867122974</v>
      </c>
      <c r="H28" s="971">
        <v>5012.2216662564069</v>
      </c>
      <c r="I28" s="971">
        <v>3969.0887991528175</v>
      </c>
      <c r="J28" s="971">
        <v>18802.000895466979</v>
      </c>
      <c r="K28" s="971">
        <v>16741.957251618231</v>
      </c>
      <c r="L28" s="971">
        <v>38015.142011987336</v>
      </c>
      <c r="M28" s="971">
        <v>4438.0387847605962</v>
      </c>
      <c r="N28" s="971">
        <v>141318.02829863364</v>
      </c>
      <c r="Q28" s="94" t="s">
        <v>763</v>
      </c>
      <c r="R28" s="95">
        <v>820.46394569478241</v>
      </c>
      <c r="S28" s="95">
        <v>10623.179882347567</v>
      </c>
      <c r="T28" s="95">
        <v>2999.4405689332752</v>
      </c>
      <c r="U28" s="95">
        <v>3712.2807437228976</v>
      </c>
      <c r="V28" s="95">
        <v>2926.034704329772</v>
      </c>
      <c r="W28" s="95">
        <v>943.94961077545327</v>
      </c>
      <c r="X28" s="95">
        <v>699.51312216333201</v>
      </c>
      <c r="Y28" s="95">
        <v>1440.8721128613647</v>
      </c>
      <c r="Z28" s="95">
        <v>5416.1328662459537</v>
      </c>
      <c r="AA28" s="95">
        <v>4184.8474928441228</v>
      </c>
      <c r="AB28" s="95">
        <v>11693.143096373078</v>
      </c>
      <c r="AC28" s="95">
        <v>1228.0235060786952</v>
      </c>
      <c r="AD28" s="95">
        <v>46687.881652370299</v>
      </c>
    </row>
    <row r="29" spans="1:30" ht="12" customHeight="1">
      <c r="A29" s="970" t="s">
        <v>510</v>
      </c>
      <c r="B29" s="971">
        <v>1545.1718452925147</v>
      </c>
      <c r="C29" s="971">
        <v>17669.866146046479</v>
      </c>
      <c r="D29" s="971">
        <v>6539.493236476841</v>
      </c>
      <c r="E29" s="971">
        <v>10352.640586485255</v>
      </c>
      <c r="F29" s="971">
        <v>4168.4038352269281</v>
      </c>
      <c r="G29" s="971">
        <v>2376.0498621069787</v>
      </c>
      <c r="H29" s="971">
        <v>3292.9483897995938</v>
      </c>
      <c r="I29" s="971">
        <v>3894.6194490408516</v>
      </c>
      <c r="J29" s="971">
        <v>11944.564310888063</v>
      </c>
      <c r="K29" s="971">
        <v>10388.949485794143</v>
      </c>
      <c r="L29" s="971">
        <v>21824.214243376278</v>
      </c>
      <c r="M29" s="971">
        <v>2979.6196672249025</v>
      </c>
      <c r="N29" s="971">
        <v>96976.541057758834</v>
      </c>
      <c r="Q29" s="94" t="s">
        <v>289</v>
      </c>
      <c r="R29" s="95">
        <v>2682.3974911640148</v>
      </c>
      <c r="S29" s="95">
        <v>17035.404073278703</v>
      </c>
      <c r="T29" s="95">
        <v>6829.311193449701</v>
      </c>
      <c r="U29" s="95">
        <v>10648.712987511406</v>
      </c>
      <c r="V29" s="95">
        <v>3869.7326585443034</v>
      </c>
      <c r="W29" s="95">
        <v>2275.7999701927361</v>
      </c>
      <c r="X29" s="95">
        <v>3128.749803170128</v>
      </c>
      <c r="Y29" s="95">
        <v>3893.7806074624168</v>
      </c>
      <c r="Z29" s="95">
        <v>11491.305718685318</v>
      </c>
      <c r="AA29" s="95">
        <v>9058.8296976263664</v>
      </c>
      <c r="AB29" s="95">
        <v>21639.024124886291</v>
      </c>
      <c r="AC29" s="95">
        <v>2975.1745229590388</v>
      </c>
      <c r="AD29" s="95">
        <v>95528.222848930425</v>
      </c>
    </row>
    <row r="30" spans="1:30" ht="12" customHeight="1">
      <c r="A30" s="970" t="s">
        <v>290</v>
      </c>
      <c r="B30" s="971">
        <v>543.10974278887397</v>
      </c>
      <c r="C30" s="971">
        <v>15509.659576009126</v>
      </c>
      <c r="D30" s="971">
        <v>8168.259968021458</v>
      </c>
      <c r="E30" s="971">
        <v>13561.469302630199</v>
      </c>
      <c r="F30" s="971">
        <v>7981.2677468944175</v>
      </c>
      <c r="G30" s="971">
        <v>5886.0550034337139</v>
      </c>
      <c r="H30" s="971">
        <v>5652.3468119235831</v>
      </c>
      <c r="I30" s="971">
        <v>4137.1116210176624</v>
      </c>
      <c r="J30" s="971">
        <v>19352.886353531485</v>
      </c>
      <c r="K30" s="971">
        <v>16059.27702347758</v>
      </c>
      <c r="L30" s="971">
        <v>35889.913130525783</v>
      </c>
      <c r="M30" s="971">
        <v>4328.6597106936906</v>
      </c>
      <c r="N30" s="971">
        <v>137070.01599094758</v>
      </c>
      <c r="Q30" s="94" t="s">
        <v>290</v>
      </c>
      <c r="R30" s="95">
        <v>1817.6194018567694</v>
      </c>
      <c r="S30" s="95">
        <v>14615.557503310722</v>
      </c>
      <c r="T30" s="95">
        <v>8439.3243355291143</v>
      </c>
      <c r="U30" s="95">
        <v>13805.333119277677</v>
      </c>
      <c r="V30" s="95">
        <v>7604.0315978072185</v>
      </c>
      <c r="W30" s="95">
        <v>5649.7829380750845</v>
      </c>
      <c r="X30" s="95">
        <v>5274.7577547726205</v>
      </c>
      <c r="Y30" s="95">
        <v>4177.0982683186912</v>
      </c>
      <c r="Z30" s="95">
        <v>18821.477903014489</v>
      </c>
      <c r="AA30" s="95">
        <v>15202.226636803003</v>
      </c>
      <c r="AB30" s="95">
        <v>35588.440183297425</v>
      </c>
      <c r="AC30" s="95">
        <v>4244.7985107113091</v>
      </c>
      <c r="AD30" s="95">
        <v>135240.44815277413</v>
      </c>
    </row>
    <row r="31" spans="1:30" ht="12" customHeight="1">
      <c r="A31" s="971" t="s">
        <v>542</v>
      </c>
      <c r="B31" s="971">
        <v>33633.642291288794</v>
      </c>
      <c r="C31" s="971">
        <v>275144.72662607889</v>
      </c>
      <c r="D31" s="971">
        <v>104983.94548046953</v>
      </c>
      <c r="E31" s="971">
        <v>192280.08671894684</v>
      </c>
      <c r="F31" s="971">
        <v>91995.518575894865</v>
      </c>
      <c r="G31" s="971">
        <v>54301.714584026515</v>
      </c>
      <c r="H31" s="971">
        <v>97142.611755054284</v>
      </c>
      <c r="I31" s="971">
        <v>86391.889825200051</v>
      </c>
      <c r="J31" s="971">
        <v>248269.56023248893</v>
      </c>
      <c r="K31" s="971">
        <v>250504.5356874564</v>
      </c>
      <c r="L31" s="971">
        <v>431586.42140819569</v>
      </c>
      <c r="M31" s="971">
        <v>57816.33387496409</v>
      </c>
      <c r="N31" s="971">
        <v>1924050.9870600649</v>
      </c>
      <c r="Q31" s="94" t="s">
        <v>291</v>
      </c>
      <c r="R31" s="95">
        <v>1642.8070459687981</v>
      </c>
      <c r="S31" s="95">
        <v>34192.00135220497</v>
      </c>
      <c r="T31" s="95">
        <v>12724.98302011033</v>
      </c>
      <c r="U31" s="95">
        <v>19117.512180269601</v>
      </c>
      <c r="V31" s="95">
        <v>8203.829593659495</v>
      </c>
      <c r="W31" s="95">
        <v>5353.4707506656659</v>
      </c>
      <c r="X31" s="95">
        <v>6678.8257236329737</v>
      </c>
      <c r="Y31" s="95">
        <v>6103.9466113296185</v>
      </c>
      <c r="Z31" s="95">
        <v>24316.885154645519</v>
      </c>
      <c r="AA31" s="95">
        <v>22517.634423211792</v>
      </c>
      <c r="AB31" s="95">
        <v>40338.772427804775</v>
      </c>
      <c r="AC31" s="95">
        <v>5136.7826602767655</v>
      </c>
      <c r="AD31" s="95">
        <v>186327.45094378031</v>
      </c>
    </row>
    <row r="32" spans="1:30" ht="12" customHeight="1">
      <c r="A32" s="95"/>
      <c r="B32" s="95"/>
      <c r="C32" s="95"/>
      <c r="D32" s="95"/>
      <c r="E32" s="95"/>
      <c r="F32" s="95"/>
      <c r="G32" s="95"/>
      <c r="H32" s="95"/>
      <c r="I32" s="95"/>
      <c r="J32" s="95"/>
      <c r="K32" s="95"/>
      <c r="L32" s="95"/>
      <c r="M32" s="95"/>
      <c r="N32" s="95">
        <v>1862978.9845528556</v>
      </c>
      <c r="Q32" s="95" t="s">
        <v>1401</v>
      </c>
      <c r="R32" s="95">
        <v>32214.392245328465</v>
      </c>
      <c r="S32" s="95">
        <v>261395.0961335435</v>
      </c>
      <c r="T32" s="95">
        <v>108634.96384142812</v>
      </c>
      <c r="U32" s="95">
        <v>191410.37525344174</v>
      </c>
      <c r="V32" s="95">
        <v>85780.603979190026</v>
      </c>
      <c r="W32" s="95">
        <v>52767.141398829997</v>
      </c>
      <c r="X32" s="95">
        <v>91853.406644115748</v>
      </c>
      <c r="Y32" s="95">
        <v>86049.768858281313</v>
      </c>
      <c r="Z32" s="95">
        <v>241633.48812524878</v>
      </c>
      <c r="AA32" s="95">
        <v>242346.88068195796</v>
      </c>
      <c r="AB32" s="95">
        <v>428839.76616332418</v>
      </c>
      <c r="AC32" s="95">
        <v>56749.118304605414</v>
      </c>
      <c r="AD32" s="95">
        <v>1879675.0016292953</v>
      </c>
    </row>
    <row r="33" spans="1:30" ht="12" customHeight="1">
      <c r="B33" s="209">
        <f>B31/$N31</f>
        <v>1.748063981541401E-2</v>
      </c>
      <c r="C33" s="209">
        <f t="shared" ref="C33:M33" si="5">C31/$N31</f>
        <v>0.14300282501686606</v>
      </c>
      <c r="D33" s="209">
        <f t="shared" si="5"/>
        <v>5.4564014252493478E-2</v>
      </c>
      <c r="E33" s="209">
        <f t="shared" si="5"/>
        <v>9.9935026676579566E-2</v>
      </c>
      <c r="F33" s="209">
        <f t="shared" si="5"/>
        <v>4.7813451511731143E-2</v>
      </c>
      <c r="G33" s="209">
        <f t="shared" si="5"/>
        <v>2.8222596464036079E-2</v>
      </c>
      <c r="H33" s="209">
        <f t="shared" si="5"/>
        <v>5.0488584974292934E-2</v>
      </c>
      <c r="I33" s="209">
        <f t="shared" si="5"/>
        <v>4.4901039736585255E-2</v>
      </c>
      <c r="J33" s="209">
        <f t="shared" si="5"/>
        <v>0.12903481347541779</v>
      </c>
      <c r="K33" s="209">
        <f t="shared" si="5"/>
        <v>0.13019641234675666</v>
      </c>
      <c r="L33" s="209">
        <f t="shared" si="5"/>
        <v>0.22431132247054245</v>
      </c>
      <c r="M33" s="209">
        <f t="shared" si="5"/>
        <v>3.0049273259284571E-2</v>
      </c>
      <c r="N33" s="209"/>
      <c r="R33" s="209">
        <f>R32/$AD32</f>
        <v>1.713827774344243E-2</v>
      </c>
      <c r="S33" s="209">
        <f>S32/$AD32</f>
        <v>0.13906398494791239</v>
      </c>
      <c r="T33" s="209">
        <f t="shared" ref="T33:AC33" si="6">T32/$AD32</f>
        <v>5.7794546263191103E-2</v>
      </c>
      <c r="U33" s="209">
        <f t="shared" si="6"/>
        <v>0.10183163317463281</v>
      </c>
      <c r="V33" s="209">
        <f t="shared" si="6"/>
        <v>4.5635869980095348E-2</v>
      </c>
      <c r="W33" s="209">
        <f t="shared" si="6"/>
        <v>2.8072481334853971E-2</v>
      </c>
      <c r="X33" s="209">
        <f t="shared" si="6"/>
        <v>4.886664267200317E-2</v>
      </c>
      <c r="Y33" s="209">
        <f t="shared" si="6"/>
        <v>4.5779067542896346E-2</v>
      </c>
      <c r="Z33" s="209">
        <f t="shared" si="6"/>
        <v>0.12855067387489952</v>
      </c>
      <c r="AA33" s="209">
        <f t="shared" si="6"/>
        <v>0.12893020361067342</v>
      </c>
      <c r="AB33" s="209">
        <f t="shared" si="6"/>
        <v>0.22814569848064559</v>
      </c>
      <c r="AC33" s="209">
        <f t="shared" si="6"/>
        <v>3.0190920374753873E-2</v>
      </c>
      <c r="AD33" s="209"/>
    </row>
    <row r="34" spans="1:30" s="96" customFormat="1" ht="12" customHeight="1">
      <c r="A34" s="97" t="s">
        <v>1988</v>
      </c>
      <c r="H34" s="813" t="s">
        <v>1399</v>
      </c>
    </row>
    <row r="35" spans="1:30" s="98" customFormat="1" ht="12" customHeight="1">
      <c r="A35" s="100"/>
      <c r="B35" s="678"/>
      <c r="C35" s="99"/>
      <c r="D35" s="99"/>
      <c r="E35" s="99"/>
      <c r="F35" s="99"/>
      <c r="G35" s="99"/>
    </row>
    <row r="36" spans="1:30" ht="12" customHeight="1">
      <c r="A36" s="101"/>
      <c r="B36" s="102"/>
      <c r="C36" s="102"/>
      <c r="D36" s="102"/>
      <c r="E36" s="102"/>
      <c r="F36" s="102"/>
      <c r="G36" s="103"/>
      <c r="H36" s="226"/>
    </row>
    <row r="37" spans="1:30" ht="12" customHeight="1">
      <c r="A37" s="106" t="s">
        <v>1409</v>
      </c>
      <c r="H37" s="226"/>
      <c r="I37" s="104" t="s">
        <v>1408</v>
      </c>
      <c r="J37" s="102">
        <v>2009</v>
      </c>
      <c r="K37" s="102">
        <v>2010</v>
      </c>
      <c r="L37" s="102">
        <v>2011</v>
      </c>
      <c r="M37" s="102">
        <v>2012</v>
      </c>
      <c r="N37" s="105">
        <v>2013</v>
      </c>
      <c r="O37" s="105">
        <v>2014</v>
      </c>
      <c r="Q37" s="104"/>
      <c r="R37" s="102"/>
      <c r="S37" s="102"/>
      <c r="T37" s="102"/>
      <c r="U37" s="102"/>
      <c r="V37" s="105"/>
      <c r="W37" s="105"/>
    </row>
    <row r="38" spans="1:30" ht="12" customHeight="1">
      <c r="B38" s="102">
        <v>2009</v>
      </c>
      <c r="C38" s="102">
        <v>2010</v>
      </c>
      <c r="D38" s="102">
        <v>2011</v>
      </c>
      <c r="E38" s="102">
        <v>2012</v>
      </c>
      <c r="F38" s="102">
        <v>2013</v>
      </c>
      <c r="G38" s="102">
        <v>2014</v>
      </c>
      <c r="H38" s="227"/>
      <c r="I38" s="106" t="s">
        <v>292</v>
      </c>
      <c r="J38" s="107">
        <v>52563.696877989074</v>
      </c>
      <c r="K38" s="107">
        <v>52363.451891943267</v>
      </c>
      <c r="L38" s="107">
        <v>54416.651061214608</v>
      </c>
      <c r="M38" s="107">
        <v>54288.547510943594</v>
      </c>
      <c r="N38" s="107">
        <v>55227.492036003227</v>
      </c>
      <c r="O38" s="108">
        <v>55937.915864576884</v>
      </c>
      <c r="Q38" s="106"/>
      <c r="R38" s="107"/>
      <c r="S38" s="107"/>
      <c r="T38" s="107"/>
      <c r="U38" s="107"/>
      <c r="V38" s="107"/>
      <c r="W38" s="108"/>
    </row>
    <row r="39" spans="1:30" ht="12" customHeight="1">
      <c r="A39" s="106" t="s">
        <v>1402</v>
      </c>
      <c r="B39" s="107">
        <v>219262.0477039495</v>
      </c>
      <c r="C39" s="107">
        <v>225165.722898117</v>
      </c>
      <c r="D39" s="107">
        <v>235357.20789589701</v>
      </c>
      <c r="E39" s="107">
        <v>237266.2940567779</v>
      </c>
      <c r="F39" s="107">
        <v>240201.16918987641</v>
      </c>
      <c r="G39" s="107">
        <v>244048.93898821151</v>
      </c>
      <c r="H39" s="227"/>
      <c r="I39" s="106" t="s">
        <v>74</v>
      </c>
      <c r="J39" s="107">
        <v>85613.328158132979</v>
      </c>
      <c r="K39" s="107">
        <v>87778.377687311906</v>
      </c>
      <c r="L39" s="107">
        <v>91840.910031115025</v>
      </c>
      <c r="M39" s="107">
        <v>92901.706059100077</v>
      </c>
      <c r="N39" s="107">
        <v>93139.501125294133</v>
      </c>
      <c r="O39" s="108">
        <v>94357.90241778559</v>
      </c>
      <c r="Q39" s="106"/>
      <c r="R39" s="107"/>
      <c r="S39" s="107"/>
      <c r="T39" s="107"/>
      <c r="U39" s="107"/>
      <c r="V39" s="107"/>
      <c r="W39" s="108"/>
    </row>
    <row r="40" spans="1:30" ht="12" customHeight="1">
      <c r="A40" s="106" t="s">
        <v>508</v>
      </c>
      <c r="B40" s="107">
        <v>80428.573372374653</v>
      </c>
      <c r="C40" s="107">
        <v>81299.450683662886</v>
      </c>
      <c r="D40" s="107">
        <v>85011.055111262016</v>
      </c>
      <c r="E40" s="107">
        <v>86154.197563286274</v>
      </c>
      <c r="F40" s="107">
        <v>87600.593102600338</v>
      </c>
      <c r="G40" s="107">
        <v>89467.994498370928</v>
      </c>
      <c r="H40" s="227"/>
      <c r="I40" s="106" t="s">
        <v>294</v>
      </c>
      <c r="J40" s="107">
        <v>80428.573372374653</v>
      </c>
      <c r="K40" s="107">
        <v>81299.450683662886</v>
      </c>
      <c r="L40" s="107">
        <v>85011.055111262016</v>
      </c>
      <c r="M40" s="107">
        <v>86154.197563286274</v>
      </c>
      <c r="N40" s="107">
        <v>87600.593102600338</v>
      </c>
      <c r="O40" s="108">
        <v>89467.994498370928</v>
      </c>
      <c r="Q40" s="106"/>
      <c r="R40" s="107"/>
      <c r="S40" s="107"/>
      <c r="T40" s="107"/>
      <c r="U40" s="107"/>
      <c r="V40" s="107"/>
      <c r="W40" s="108"/>
    </row>
    <row r="41" spans="1:30" ht="12" customHeight="1">
      <c r="A41" s="106" t="s">
        <v>1403</v>
      </c>
      <c r="B41" s="107">
        <v>143018.05909614442</v>
      </c>
      <c r="C41" s="107">
        <v>142866.82203058086</v>
      </c>
      <c r="D41" s="107">
        <v>148739.08742265339</v>
      </c>
      <c r="E41" s="107">
        <v>147276.09809149438</v>
      </c>
      <c r="F41" s="107">
        <v>149011.22941709531</v>
      </c>
      <c r="G41" s="107">
        <v>150344.88357937842</v>
      </c>
      <c r="H41" s="227"/>
      <c r="I41" s="106" t="s">
        <v>287</v>
      </c>
      <c r="J41" s="107">
        <v>61904.396321424269</v>
      </c>
      <c r="K41" s="107">
        <v>62745.508648263625</v>
      </c>
      <c r="L41" s="107">
        <v>65422.622715669313</v>
      </c>
      <c r="M41" s="107">
        <v>65826.715011012784</v>
      </c>
      <c r="N41" s="107">
        <v>66018.659940679965</v>
      </c>
      <c r="O41" s="108">
        <v>66959.660727375158</v>
      </c>
      <c r="Q41" s="106"/>
      <c r="R41" s="107"/>
      <c r="S41" s="107"/>
      <c r="T41" s="107"/>
      <c r="U41" s="107"/>
      <c r="V41" s="107"/>
      <c r="W41" s="108"/>
    </row>
    <row r="42" spans="1:30" ht="12" customHeight="1">
      <c r="A42" s="106" t="s">
        <v>1404</v>
      </c>
      <c r="B42" s="107">
        <v>143212.29718300558</v>
      </c>
      <c r="C42" s="107">
        <v>144983.73963221101</v>
      </c>
      <c r="D42" s="107">
        <v>150222.93317743883</v>
      </c>
      <c r="E42" s="107">
        <v>150400.28753204766</v>
      </c>
      <c r="F42" s="107">
        <v>152133.18433447671</v>
      </c>
      <c r="G42" s="107">
        <v>153861.94836056733</v>
      </c>
      <c r="H42" s="227"/>
      <c r="I42" s="106" t="s">
        <v>288</v>
      </c>
      <c r="J42" s="107">
        <v>77411.910734751815</v>
      </c>
      <c r="K42" s="107">
        <v>77438.225197538428</v>
      </c>
      <c r="L42" s="107">
        <v>81134.224460729762</v>
      </c>
      <c r="M42" s="107">
        <v>83826.448087839875</v>
      </c>
      <c r="N42" s="107">
        <v>85723.157009315604</v>
      </c>
      <c r="O42" s="108">
        <v>86692.70035141772</v>
      </c>
      <c r="Q42" s="106"/>
      <c r="R42" s="107"/>
      <c r="S42" s="107"/>
      <c r="T42" s="107"/>
      <c r="U42" s="107"/>
      <c r="V42" s="107"/>
      <c r="W42" s="108"/>
    </row>
    <row r="43" spans="1:30" ht="12" customHeight="1">
      <c r="A43" s="106" t="s">
        <v>1405</v>
      </c>
      <c r="B43" s="107">
        <v>83502.938125481742</v>
      </c>
      <c r="C43" s="107">
        <v>85549.671843471413</v>
      </c>
      <c r="D43" s="107">
        <v>88601.974141223385</v>
      </c>
      <c r="E43" s="107">
        <v>88929.911653012037</v>
      </c>
      <c r="F43" s="107">
        <v>89839.720705864776</v>
      </c>
      <c r="G43" s="107">
        <v>90346.900579204113</v>
      </c>
      <c r="H43" s="227"/>
      <c r="I43" s="106" t="s">
        <v>293</v>
      </c>
      <c r="J43" s="107">
        <v>99077.458585720058</v>
      </c>
      <c r="K43" s="107">
        <v>99967.969843187399</v>
      </c>
      <c r="L43" s="107">
        <v>103810.58325261937</v>
      </c>
      <c r="M43" s="107">
        <v>103516.87066548124</v>
      </c>
      <c r="N43" s="107">
        <v>105101.79936201019</v>
      </c>
      <c r="O43" s="108">
        <v>106797.93780399679</v>
      </c>
      <c r="Q43" s="106"/>
      <c r="R43" s="107"/>
      <c r="S43" s="107"/>
      <c r="T43" s="107"/>
      <c r="U43" s="107"/>
      <c r="V43" s="107"/>
      <c r="W43" s="108"/>
    </row>
    <row r="44" spans="1:30" ht="12" customHeight="1">
      <c r="A44" s="106" t="s">
        <v>1406</v>
      </c>
      <c r="B44" s="107">
        <v>145298.78593604892</v>
      </c>
      <c r="C44" s="107">
        <v>148172.23962077498</v>
      </c>
      <c r="D44" s="107">
        <v>154505.32671581634</v>
      </c>
      <c r="E44" s="107">
        <v>156646.62014894219</v>
      </c>
      <c r="F44" s="107">
        <v>157717.59423720569</v>
      </c>
      <c r="G44" s="107">
        <v>159789.82985310262</v>
      </c>
      <c r="H44" s="227"/>
      <c r="I44" s="94" t="s">
        <v>763</v>
      </c>
      <c r="J44" s="107">
        <v>47622.99544214287</v>
      </c>
      <c r="K44" s="107">
        <v>49009.393483742082</v>
      </c>
      <c r="L44" s="107">
        <v>50687.99124329746</v>
      </c>
      <c r="M44" s="107">
        <v>51297.370160865074</v>
      </c>
      <c r="N44" s="107">
        <v>51765.936559491063</v>
      </c>
      <c r="O44" s="108">
        <v>52145.835220629386</v>
      </c>
      <c r="Q44" s="94"/>
      <c r="R44" s="107"/>
      <c r="S44" s="107"/>
      <c r="T44" s="107"/>
      <c r="U44" s="107"/>
      <c r="V44" s="107"/>
      <c r="W44" s="108"/>
    </row>
    <row r="45" spans="1:30" ht="12" customHeight="1">
      <c r="A45" s="106" t="s">
        <v>1407</v>
      </c>
      <c r="B45" s="107">
        <v>139316.30705617607</v>
      </c>
      <c r="C45" s="107">
        <v>140183.73384580205</v>
      </c>
      <c r="D45" s="107">
        <v>146556.84717639908</v>
      </c>
      <c r="E45" s="107">
        <v>149653.16309885267</v>
      </c>
      <c r="F45" s="107">
        <v>151741.81694999558</v>
      </c>
      <c r="G45" s="107">
        <v>153652.36107879289</v>
      </c>
      <c r="H45" s="227"/>
      <c r="I45" s="106" t="s">
        <v>289</v>
      </c>
      <c r="J45" s="107">
        <v>95402.973480669971</v>
      </c>
      <c r="K45" s="107">
        <v>96709.073745455316</v>
      </c>
      <c r="L45" s="107">
        <v>101976.38446339349</v>
      </c>
      <c r="M45" s="107">
        <v>103234.64848960459</v>
      </c>
      <c r="N45" s="107">
        <v>104948.39804015009</v>
      </c>
      <c r="O45" s="108">
        <v>106695.75879412482</v>
      </c>
      <c r="Q45" s="106"/>
      <c r="R45" s="107"/>
      <c r="S45" s="107"/>
      <c r="T45" s="107"/>
      <c r="U45" s="107"/>
      <c r="V45" s="107"/>
      <c r="W45" s="108"/>
    </row>
    <row r="46" spans="1:30" ht="12" customHeight="1">
      <c r="A46" s="106" t="s">
        <v>510</v>
      </c>
      <c r="B46" s="107">
        <v>95402.973480669971</v>
      </c>
      <c r="C46" s="107">
        <v>96709.073745455316</v>
      </c>
      <c r="D46" s="107">
        <v>101976.38446339349</v>
      </c>
      <c r="E46" s="107">
        <v>103234.6484896046</v>
      </c>
      <c r="F46" s="107">
        <v>104948.39804015009</v>
      </c>
      <c r="G46" s="107">
        <v>106695.75879412482</v>
      </c>
      <c r="H46" s="227"/>
      <c r="I46" s="106" t="s">
        <v>290</v>
      </c>
      <c r="J46" s="107">
        <v>137276.24037871</v>
      </c>
      <c r="K46" s="107">
        <v>143112.57586563969</v>
      </c>
      <c r="L46" s="107">
        <v>146235.11180931996</v>
      </c>
      <c r="M46" s="107">
        <v>150297.76814202944</v>
      </c>
      <c r="N46" s="107">
        <v>149988.49172422304</v>
      </c>
      <c r="O46" s="108">
        <v>151050.46253524956</v>
      </c>
      <c r="Q46" s="106"/>
      <c r="R46" s="107"/>
      <c r="S46" s="107"/>
      <c r="T46" s="107"/>
      <c r="U46" s="107"/>
      <c r="V46" s="107"/>
      <c r="W46" s="108"/>
    </row>
    <row r="47" spans="1:30" ht="12" customHeight="1">
      <c r="A47" s="106" t="s">
        <v>290</v>
      </c>
      <c r="B47" s="107">
        <v>137276.24037871</v>
      </c>
      <c r="C47" s="107">
        <v>143112.57586563969</v>
      </c>
      <c r="D47" s="107">
        <v>146235.11180931996</v>
      </c>
      <c r="E47" s="107">
        <v>150297.76814202947</v>
      </c>
      <c r="F47" s="107">
        <v>149988.49172422304</v>
      </c>
      <c r="G47" s="107">
        <v>151050.46253524956</v>
      </c>
      <c r="H47" s="227"/>
      <c r="I47" s="106" t="s">
        <v>291</v>
      </c>
      <c r="J47" s="107">
        <v>186627.39121625258</v>
      </c>
      <c r="K47" s="107">
        <v>191886.82736487748</v>
      </c>
      <c r="L47" s="107">
        <v>200629.3571217343</v>
      </c>
      <c r="M47" s="107">
        <v>202463.82975154967</v>
      </c>
      <c r="N47" s="107">
        <v>204733.33917824281</v>
      </c>
      <c r="O47" s="108">
        <v>208109.68958635116</v>
      </c>
      <c r="Q47" s="106"/>
      <c r="R47" s="107"/>
      <c r="S47" s="107"/>
      <c r="T47" s="107"/>
      <c r="U47" s="107"/>
      <c r="V47" s="107"/>
      <c r="W47" s="108"/>
    </row>
    <row r="48" spans="1:30" ht="12" customHeight="1">
      <c r="A48" s="106" t="s">
        <v>1401</v>
      </c>
      <c r="B48" s="107">
        <v>1903563.7508552847</v>
      </c>
      <c r="C48" s="107">
        <v>1961745.8167142775</v>
      </c>
      <c r="D48" s="107">
        <v>2021626.1964378688</v>
      </c>
      <c r="E48" s="107">
        <v>2047447.3805673025</v>
      </c>
      <c r="F48" s="107">
        <v>2075862.4509124449</v>
      </c>
      <c r="G48" s="107">
        <v>2099414.6516705519</v>
      </c>
      <c r="H48" s="227"/>
      <c r="I48" s="106" t="s">
        <v>1141</v>
      </c>
      <c r="J48" s="107">
        <v>1903563.7508552847</v>
      </c>
      <c r="K48" s="107">
        <v>1961745.8167142775</v>
      </c>
      <c r="L48" s="107">
        <v>2021626.1964378688</v>
      </c>
      <c r="M48" s="107">
        <v>2047447.3805673025</v>
      </c>
      <c r="N48" s="107">
        <v>2075862.4509124449</v>
      </c>
      <c r="O48" s="108">
        <v>2099414.6516705519</v>
      </c>
      <c r="Q48" s="106"/>
      <c r="R48" s="107"/>
      <c r="S48" s="107"/>
      <c r="T48" s="107"/>
      <c r="U48" s="107"/>
      <c r="V48" s="107"/>
      <c r="W48" s="108"/>
    </row>
    <row r="50" spans="1:15" ht="12" customHeight="1">
      <c r="I50" s="92" t="s">
        <v>1408</v>
      </c>
    </row>
    <row r="51" spans="1:15" ht="12" customHeight="1">
      <c r="A51" s="92" t="s">
        <v>1409</v>
      </c>
      <c r="B51" s="92">
        <v>2009</v>
      </c>
      <c r="C51" s="92">
        <v>2010</v>
      </c>
      <c r="D51" s="92">
        <v>2011</v>
      </c>
      <c r="E51" s="92">
        <v>2012</v>
      </c>
      <c r="F51" s="92">
        <v>2013</v>
      </c>
      <c r="G51" s="92">
        <v>2014</v>
      </c>
      <c r="J51" s="92">
        <v>2009</v>
      </c>
      <c r="K51" s="92">
        <v>2010</v>
      </c>
      <c r="L51" s="92">
        <v>2011</v>
      </c>
      <c r="M51" s="92">
        <v>2012</v>
      </c>
      <c r="N51" s="92">
        <v>2013</v>
      </c>
      <c r="O51" s="92">
        <v>2014</v>
      </c>
    </row>
    <row r="52" spans="1:15" ht="12" customHeight="1">
      <c r="A52" s="92" t="s">
        <v>1402</v>
      </c>
      <c r="B52" s="92">
        <v>100</v>
      </c>
      <c r="C52" s="209">
        <f t="shared" ref="C52:G61" si="7">C39/$B39</f>
        <v>1.0269252032259533</v>
      </c>
      <c r="D52" s="209">
        <f t="shared" si="7"/>
        <v>1.0734060470587203</v>
      </c>
      <c r="E52" s="209">
        <f t="shared" si="7"/>
        <v>1.0821129171298169</v>
      </c>
      <c r="F52" s="209">
        <f t="shared" si="7"/>
        <v>1.0954981571375233</v>
      </c>
      <c r="G52" s="209">
        <f t="shared" si="7"/>
        <v>1.1130468840541414</v>
      </c>
      <c r="I52" s="92" t="s">
        <v>292</v>
      </c>
      <c r="J52" s="92">
        <v>100</v>
      </c>
      <c r="K52" s="209">
        <f t="shared" ref="K52:O62" si="8">K38/$J38</f>
        <v>0.99619043183909584</v>
      </c>
      <c r="L52" s="209">
        <f t="shared" si="8"/>
        <v>1.035251595555134</v>
      </c>
      <c r="M52" s="209">
        <f t="shared" si="8"/>
        <v>1.0328144848136964</v>
      </c>
      <c r="N52" s="209">
        <f t="shared" si="8"/>
        <v>1.0506774697410906</v>
      </c>
      <c r="O52" s="209">
        <f t="shared" si="8"/>
        <v>1.0641929542060189</v>
      </c>
    </row>
    <row r="53" spans="1:15" ht="12" customHeight="1">
      <c r="A53" s="92" t="s">
        <v>508</v>
      </c>
      <c r="B53" s="92">
        <v>100</v>
      </c>
      <c r="C53" s="209">
        <f t="shared" si="7"/>
        <v>1.0108279592037046</v>
      </c>
      <c r="D53" s="209">
        <f t="shared" si="7"/>
        <v>1.0569757928898107</v>
      </c>
      <c r="E53" s="209">
        <f t="shared" si="7"/>
        <v>1.0711889313814218</v>
      </c>
      <c r="F53" s="209">
        <f t="shared" si="7"/>
        <v>1.0891725344551382</v>
      </c>
      <c r="G53" s="209">
        <f t="shared" si="7"/>
        <v>1.112390668477294</v>
      </c>
      <c r="I53" s="92" t="s">
        <v>74</v>
      </c>
      <c r="J53" s="92">
        <v>100</v>
      </c>
      <c r="K53" s="209">
        <f t="shared" si="8"/>
        <v>1.0252886971661697</v>
      </c>
      <c r="L53" s="209">
        <f t="shared" si="8"/>
        <v>1.0727407987396462</v>
      </c>
      <c r="M53" s="209">
        <f t="shared" si="8"/>
        <v>1.0851313464593391</v>
      </c>
      <c r="N53" s="209">
        <f t="shared" si="8"/>
        <v>1.0879088937327592</v>
      </c>
      <c r="O53" s="209">
        <f t="shared" si="8"/>
        <v>1.1021403378163368</v>
      </c>
    </row>
    <row r="54" spans="1:15" ht="12" customHeight="1">
      <c r="A54" s="92" t="s">
        <v>1403</v>
      </c>
      <c r="B54" s="92">
        <v>100</v>
      </c>
      <c r="C54" s="209">
        <f t="shared" si="7"/>
        <v>0.99894253168782066</v>
      </c>
      <c r="D54" s="209">
        <f t="shared" si="7"/>
        <v>1.040002139328873</v>
      </c>
      <c r="E54" s="209">
        <f t="shared" si="7"/>
        <v>1.029772736549917</v>
      </c>
      <c r="F54" s="209">
        <f t="shared" si="7"/>
        <v>1.0419049898930732</v>
      </c>
      <c r="G54" s="209">
        <f t="shared" si="7"/>
        <v>1.0512300651367987</v>
      </c>
      <c r="I54" s="92" t="s">
        <v>294</v>
      </c>
      <c r="J54" s="92">
        <v>100</v>
      </c>
      <c r="K54" s="209">
        <f t="shared" si="8"/>
        <v>1.0108279592037046</v>
      </c>
      <c r="L54" s="209">
        <f t="shared" si="8"/>
        <v>1.0569757928898107</v>
      </c>
      <c r="M54" s="209">
        <f t="shared" si="8"/>
        <v>1.0711889313814218</v>
      </c>
      <c r="N54" s="209">
        <f t="shared" si="8"/>
        <v>1.0891725344551382</v>
      </c>
      <c r="O54" s="209">
        <f t="shared" si="8"/>
        <v>1.112390668477294</v>
      </c>
    </row>
    <row r="55" spans="1:15" ht="12" customHeight="1">
      <c r="A55" s="92" t="s">
        <v>1404</v>
      </c>
      <c r="B55" s="92">
        <v>100</v>
      </c>
      <c r="C55" s="209">
        <f t="shared" si="7"/>
        <v>1.0123693459573642</v>
      </c>
      <c r="D55" s="209">
        <f t="shared" si="7"/>
        <v>1.0489527514908488</v>
      </c>
      <c r="E55" s="209">
        <f t="shared" si="7"/>
        <v>1.0501911532070241</v>
      </c>
      <c r="F55" s="209">
        <f t="shared" si="7"/>
        <v>1.0622913487664503</v>
      </c>
      <c r="G55" s="209">
        <f t="shared" si="7"/>
        <v>1.0743626866340463</v>
      </c>
      <c r="I55" s="92" t="s">
        <v>287</v>
      </c>
      <c r="J55" s="92">
        <v>100</v>
      </c>
      <c r="K55" s="209">
        <f t="shared" si="8"/>
        <v>1.013587279366591</v>
      </c>
      <c r="L55" s="209">
        <f t="shared" si="8"/>
        <v>1.0568332235400126</v>
      </c>
      <c r="M55" s="209">
        <f t="shared" si="8"/>
        <v>1.0633609068606822</v>
      </c>
      <c r="N55" s="209">
        <f t="shared" si="8"/>
        <v>1.0664615740357652</v>
      </c>
      <c r="O55" s="209">
        <f t="shared" si="8"/>
        <v>1.0816624457446058</v>
      </c>
    </row>
    <row r="56" spans="1:15" ht="12" customHeight="1">
      <c r="A56" s="92" t="s">
        <v>1405</v>
      </c>
      <c r="B56" s="92">
        <v>100</v>
      </c>
      <c r="C56" s="209">
        <f t="shared" si="7"/>
        <v>1.0245109185848527</v>
      </c>
      <c r="D56" s="209">
        <f t="shared" si="7"/>
        <v>1.061064150917411</v>
      </c>
      <c r="E56" s="209">
        <f t="shared" si="7"/>
        <v>1.0649914080792591</v>
      </c>
      <c r="F56" s="209">
        <f t="shared" si="7"/>
        <v>1.0758869414973233</v>
      </c>
      <c r="G56" s="209">
        <f t="shared" si="7"/>
        <v>1.0819607382369922</v>
      </c>
      <c r="I56" s="92" t="s">
        <v>288</v>
      </c>
      <c r="J56" s="92">
        <v>100</v>
      </c>
      <c r="K56" s="209">
        <f t="shared" si="8"/>
        <v>1.0003399278294109</v>
      </c>
      <c r="L56" s="209">
        <f t="shared" si="8"/>
        <v>1.0480845090974731</v>
      </c>
      <c r="M56" s="209">
        <f t="shared" si="8"/>
        <v>1.0828624082806477</v>
      </c>
      <c r="N56" s="209">
        <f t="shared" si="8"/>
        <v>1.1073639210772341</v>
      </c>
      <c r="O56" s="209">
        <f t="shared" si="8"/>
        <v>1.1198883935117696</v>
      </c>
    </row>
    <row r="57" spans="1:15" ht="12" customHeight="1">
      <c r="A57" s="92" t="s">
        <v>1406</v>
      </c>
      <c r="B57" s="92">
        <v>100</v>
      </c>
      <c r="C57" s="209">
        <f t="shared" si="7"/>
        <v>1.0197761713300948</v>
      </c>
      <c r="D57" s="209">
        <f t="shared" si="7"/>
        <v>1.0633628197266529</v>
      </c>
      <c r="E57" s="209">
        <f t="shared" si="7"/>
        <v>1.0780999933329647</v>
      </c>
      <c r="F57" s="209">
        <f t="shared" si="7"/>
        <v>1.0854708332292791</v>
      </c>
      <c r="G57" s="209">
        <f t="shared" si="7"/>
        <v>1.0997327253885776</v>
      </c>
      <c r="I57" s="92" t="s">
        <v>293</v>
      </c>
      <c r="J57" s="92">
        <v>100</v>
      </c>
      <c r="K57" s="209">
        <f t="shared" si="8"/>
        <v>1.008988030881887</v>
      </c>
      <c r="L57" s="209">
        <f t="shared" si="8"/>
        <v>1.0477719628103328</v>
      </c>
      <c r="M57" s="209">
        <f t="shared" si="8"/>
        <v>1.0448074884351246</v>
      </c>
      <c r="N57" s="209">
        <f t="shared" si="8"/>
        <v>1.0608043531019518</v>
      </c>
      <c r="O57" s="209">
        <f t="shared" si="8"/>
        <v>1.0779236703129311</v>
      </c>
    </row>
    <row r="58" spans="1:15" ht="12" customHeight="1">
      <c r="A58" s="92" t="s">
        <v>1407</v>
      </c>
      <c r="B58" s="92">
        <v>100</v>
      </c>
      <c r="C58" s="209">
        <f t="shared" si="7"/>
        <v>1.0062263119655921</v>
      </c>
      <c r="D58" s="209">
        <f t="shared" si="7"/>
        <v>1.051971949825683</v>
      </c>
      <c r="E58" s="209">
        <f t="shared" si="7"/>
        <v>1.0741970287692775</v>
      </c>
      <c r="F58" s="209">
        <f t="shared" si="7"/>
        <v>1.0891891994295342</v>
      </c>
      <c r="G58" s="209">
        <f t="shared" si="7"/>
        <v>1.1029029144221871</v>
      </c>
      <c r="I58" s="92" t="s">
        <v>763</v>
      </c>
      <c r="J58" s="92">
        <v>100</v>
      </c>
      <c r="K58" s="209">
        <f t="shared" si="8"/>
        <v>1.0291119453685678</v>
      </c>
      <c r="L58" s="209">
        <f t="shared" si="8"/>
        <v>1.0643595761396036</v>
      </c>
      <c r="M58" s="209">
        <f t="shared" si="8"/>
        <v>1.0771554725738788</v>
      </c>
      <c r="N58" s="209">
        <f t="shared" si="8"/>
        <v>1.0869945512432424</v>
      </c>
      <c r="O58" s="209">
        <f t="shared" si="8"/>
        <v>1.094971761782211</v>
      </c>
    </row>
    <row r="59" spans="1:15" ht="12" customHeight="1">
      <c r="A59" s="92" t="s">
        <v>510</v>
      </c>
      <c r="B59" s="92">
        <v>100</v>
      </c>
      <c r="C59" s="209">
        <f t="shared" si="7"/>
        <v>1.0136903517483129</v>
      </c>
      <c r="D59" s="209">
        <f t="shared" si="7"/>
        <v>1.068901531502636</v>
      </c>
      <c r="E59" s="209">
        <f t="shared" si="7"/>
        <v>1.082090470801955</v>
      </c>
      <c r="F59" s="209">
        <f t="shared" si="7"/>
        <v>1.1000537426793533</v>
      </c>
      <c r="G59" s="209">
        <f t="shared" si="7"/>
        <v>1.1183693222700541</v>
      </c>
      <c r="I59" s="92" t="s">
        <v>289</v>
      </c>
      <c r="J59" s="92">
        <v>100</v>
      </c>
      <c r="K59" s="209">
        <f t="shared" si="8"/>
        <v>1.0136903517483129</v>
      </c>
      <c r="L59" s="209">
        <f t="shared" si="8"/>
        <v>1.068901531502636</v>
      </c>
      <c r="M59" s="209">
        <f t="shared" si="8"/>
        <v>1.082090470801955</v>
      </c>
      <c r="N59" s="209">
        <f t="shared" si="8"/>
        <v>1.1000537426793533</v>
      </c>
      <c r="O59" s="209">
        <f t="shared" si="8"/>
        <v>1.1183693222700541</v>
      </c>
    </row>
    <row r="60" spans="1:15" ht="12" customHeight="1">
      <c r="A60" s="92" t="s">
        <v>290</v>
      </c>
      <c r="B60" s="92">
        <v>100</v>
      </c>
      <c r="C60" s="209">
        <f t="shared" si="7"/>
        <v>1.0425152631717531</v>
      </c>
      <c r="D60" s="209">
        <f t="shared" si="7"/>
        <v>1.0652616316260901</v>
      </c>
      <c r="E60" s="209">
        <f t="shared" si="7"/>
        <v>1.0948563839408509</v>
      </c>
      <c r="F60" s="209">
        <f t="shared" si="7"/>
        <v>1.0926034345815647</v>
      </c>
      <c r="G60" s="209">
        <f t="shared" si="7"/>
        <v>1.1003394478064086</v>
      </c>
      <c r="I60" s="92" t="s">
        <v>290</v>
      </c>
      <c r="J60" s="92">
        <v>100</v>
      </c>
      <c r="K60" s="209">
        <f t="shared" si="8"/>
        <v>1.0425152631717531</v>
      </c>
      <c r="L60" s="209">
        <f t="shared" si="8"/>
        <v>1.0652616316260901</v>
      </c>
      <c r="M60" s="209">
        <f t="shared" si="8"/>
        <v>1.0948563839408507</v>
      </c>
      <c r="N60" s="209">
        <f t="shared" si="8"/>
        <v>1.0926034345815647</v>
      </c>
      <c r="O60" s="209">
        <f t="shared" si="8"/>
        <v>1.1003394478064086</v>
      </c>
    </row>
    <row r="61" spans="1:15" ht="12" customHeight="1">
      <c r="A61" s="92" t="s">
        <v>1141</v>
      </c>
      <c r="B61" s="92">
        <v>100</v>
      </c>
      <c r="C61" s="209">
        <f t="shared" si="7"/>
        <v>1.03056481078338</v>
      </c>
      <c r="D61" s="209">
        <f t="shared" si="7"/>
        <v>1.0620217975518487</v>
      </c>
      <c r="E61" s="209">
        <f t="shared" si="7"/>
        <v>1.0755864518051312</v>
      </c>
      <c r="F61" s="209">
        <f t="shared" si="7"/>
        <v>1.0905137534688529</v>
      </c>
      <c r="G61" s="209">
        <f t="shared" si="7"/>
        <v>1.1028864416688278</v>
      </c>
      <c r="I61" s="92" t="s">
        <v>291</v>
      </c>
      <c r="J61" s="92">
        <v>100</v>
      </c>
      <c r="K61" s="209">
        <f t="shared" si="8"/>
        <v>1.0281814802979836</v>
      </c>
      <c r="L61" s="209">
        <f t="shared" si="8"/>
        <v>1.0750263174887178</v>
      </c>
      <c r="M61" s="209">
        <f t="shared" si="8"/>
        <v>1.0848559176232966</v>
      </c>
      <c r="N61" s="209">
        <f t="shared" si="8"/>
        <v>1.097016562488462</v>
      </c>
      <c r="O61" s="209">
        <f t="shared" si="8"/>
        <v>1.115107960466565</v>
      </c>
    </row>
    <row r="62" spans="1:15" ht="12" customHeight="1">
      <c r="C62" s="209"/>
      <c r="D62" s="209"/>
      <c r="E62" s="209"/>
      <c r="F62" s="209"/>
      <c r="G62" s="209"/>
      <c r="I62" s="92" t="s">
        <v>1141</v>
      </c>
      <c r="J62" s="92">
        <v>100</v>
      </c>
      <c r="K62" s="209">
        <f t="shared" si="8"/>
        <v>1.03056481078338</v>
      </c>
      <c r="L62" s="209">
        <f t="shared" si="8"/>
        <v>1.0620217975518487</v>
      </c>
      <c r="M62" s="209">
        <f t="shared" si="8"/>
        <v>1.0755864518051312</v>
      </c>
      <c r="N62" s="209">
        <f t="shared" si="8"/>
        <v>1.0905137534688529</v>
      </c>
      <c r="O62" s="209">
        <f t="shared" si="8"/>
        <v>1.1028864416688278</v>
      </c>
    </row>
    <row r="65" spans="1:13" s="111" customFormat="1" ht="12" customHeight="1">
      <c r="A65" s="112" t="s">
        <v>1531</v>
      </c>
    </row>
    <row r="66" spans="1:13" ht="12" customHeight="1">
      <c r="A66" s="110" t="s">
        <v>308</v>
      </c>
    </row>
    <row r="68" spans="1:13" ht="12" customHeight="1">
      <c r="C68" s="92" t="s">
        <v>309</v>
      </c>
      <c r="D68" s="92" t="s">
        <v>1532</v>
      </c>
      <c r="E68" s="92" t="s">
        <v>310</v>
      </c>
      <c r="F68" s="92" t="s">
        <v>1532</v>
      </c>
      <c r="G68" s="92" t="s">
        <v>311</v>
      </c>
    </row>
    <row r="69" spans="1:13" ht="12" customHeight="1">
      <c r="A69" s="92" t="s">
        <v>312</v>
      </c>
      <c r="C69" s="23">
        <v>65933145</v>
      </c>
      <c r="D69" s="793">
        <v>0.3</v>
      </c>
      <c r="E69" s="92">
        <v>11161725</v>
      </c>
      <c r="F69" s="793">
        <v>12.6</v>
      </c>
      <c r="G69" s="23">
        <f>C69-E69</f>
        <v>54771420</v>
      </c>
      <c r="H69" s="209"/>
      <c r="I69" s="209"/>
      <c r="J69" s="209"/>
      <c r="K69" s="209"/>
      <c r="L69" s="209"/>
      <c r="M69" s="209"/>
    </row>
    <row r="70" spans="1:13" ht="12" customHeight="1">
      <c r="A70" s="92" t="s">
        <v>313</v>
      </c>
      <c r="C70" s="23">
        <v>31237865</v>
      </c>
      <c r="D70" s="793">
        <v>5.3</v>
      </c>
      <c r="E70" s="92">
        <v>8040618</v>
      </c>
      <c r="F70" s="793">
        <v>13.8</v>
      </c>
      <c r="G70" s="23">
        <f t="shared" ref="G70:G80" si="9">C70-E70</f>
        <v>23197247</v>
      </c>
      <c r="H70" s="209"/>
      <c r="I70" s="209"/>
      <c r="J70" s="209"/>
      <c r="K70" s="209"/>
      <c r="L70" s="209"/>
      <c r="M70" s="209"/>
    </row>
    <row r="71" spans="1:13" ht="12" customHeight="1">
      <c r="A71" s="92" t="s">
        <v>314</v>
      </c>
      <c r="C71" s="23">
        <v>12427427</v>
      </c>
      <c r="D71" s="793">
        <v>3.4</v>
      </c>
      <c r="E71" s="92">
        <v>5079479</v>
      </c>
      <c r="F71" s="793">
        <v>5.9</v>
      </c>
      <c r="G71" s="23">
        <f t="shared" si="9"/>
        <v>7347948</v>
      </c>
      <c r="H71" s="209"/>
      <c r="I71" s="209"/>
      <c r="J71" s="209"/>
      <c r="K71" s="209"/>
      <c r="L71" s="209"/>
      <c r="M71" s="209"/>
    </row>
    <row r="72" spans="1:13" ht="12" customHeight="1">
      <c r="A72" s="92" t="s">
        <v>315</v>
      </c>
      <c r="C72" s="23">
        <v>9553250</v>
      </c>
      <c r="D72" s="793">
        <v>9.8000000000000007</v>
      </c>
      <c r="E72" s="92">
        <v>3099148</v>
      </c>
      <c r="F72" s="793">
        <v>24.9</v>
      </c>
      <c r="G72" s="23">
        <f t="shared" si="9"/>
        <v>6454102</v>
      </c>
      <c r="H72" s="209"/>
      <c r="I72" s="209"/>
      <c r="J72" s="209"/>
      <c r="K72" s="209"/>
      <c r="L72" s="209"/>
      <c r="M72" s="209"/>
    </row>
    <row r="73" spans="1:13" ht="12" customHeight="1">
      <c r="A73" s="92" t="s">
        <v>316</v>
      </c>
      <c r="C73" s="23">
        <v>8475809</v>
      </c>
      <c r="D73" s="793">
        <v>2.6</v>
      </c>
      <c r="E73" s="92">
        <v>2130277</v>
      </c>
      <c r="F73" s="793">
        <v>-3.1</v>
      </c>
      <c r="G73" s="23">
        <f t="shared" si="9"/>
        <v>6345532</v>
      </c>
      <c r="H73" s="209"/>
      <c r="I73" s="209"/>
      <c r="J73" s="209"/>
      <c r="K73" s="209"/>
      <c r="L73" s="209"/>
      <c r="M73" s="209"/>
    </row>
    <row r="74" spans="1:13" ht="12" customHeight="1">
      <c r="A74" s="92" t="s">
        <v>317</v>
      </c>
      <c r="C74" s="23">
        <v>8081179</v>
      </c>
      <c r="D74" s="793">
        <v>5.4</v>
      </c>
      <c r="E74" s="92">
        <v>2600464</v>
      </c>
      <c r="F74" s="793">
        <v>17.600000000000001</v>
      </c>
      <c r="G74" s="23">
        <f t="shared" si="9"/>
        <v>5480715</v>
      </c>
      <c r="H74" s="209"/>
      <c r="I74" s="209"/>
      <c r="J74" s="209"/>
      <c r="K74" s="209"/>
      <c r="L74" s="209"/>
      <c r="M74" s="209"/>
    </row>
    <row r="75" spans="1:13" ht="12" customHeight="1">
      <c r="A75" s="92" t="s">
        <v>318</v>
      </c>
      <c r="C75" s="23">
        <v>7309744</v>
      </c>
      <c r="D75" s="793">
        <v>3.6</v>
      </c>
      <c r="E75" s="92">
        <v>5034763</v>
      </c>
      <c r="F75" s="793">
        <v>9.6</v>
      </c>
      <c r="G75" s="23">
        <f t="shared" si="9"/>
        <v>2274981</v>
      </c>
      <c r="H75" s="209"/>
      <c r="I75" s="209"/>
      <c r="J75" s="209"/>
      <c r="K75" s="209"/>
      <c r="L75" s="209"/>
      <c r="M75" s="209"/>
    </row>
    <row r="76" spans="1:13" ht="12" customHeight="1">
      <c r="A76" s="92" t="s">
        <v>319</v>
      </c>
      <c r="C76" s="23">
        <v>5779569</v>
      </c>
      <c r="D76" s="793">
        <v>8.6</v>
      </c>
      <c r="E76" s="92">
        <v>2562204</v>
      </c>
      <c r="F76" s="793">
        <v>15.9</v>
      </c>
      <c r="G76" s="23">
        <f t="shared" si="9"/>
        <v>3217365</v>
      </c>
      <c r="H76" s="209"/>
      <c r="I76" s="209"/>
      <c r="J76" s="209"/>
      <c r="K76" s="209"/>
      <c r="L76" s="209"/>
      <c r="M76" s="209"/>
    </row>
    <row r="77" spans="1:13" ht="12" customHeight="1">
      <c r="A77" s="92" t="s">
        <v>320</v>
      </c>
      <c r="C77" s="23">
        <v>4778967</v>
      </c>
      <c r="D77" s="793">
        <v>8.6999999999999993</v>
      </c>
      <c r="E77" s="92">
        <v>2880232</v>
      </c>
      <c r="F77" s="793">
        <v>38.5</v>
      </c>
      <c r="G77" s="23">
        <f t="shared" si="9"/>
        <v>1898735</v>
      </c>
      <c r="H77" s="209"/>
      <c r="I77" s="209"/>
      <c r="J77" s="209"/>
      <c r="K77" s="209"/>
      <c r="L77" s="209"/>
      <c r="M77" s="209"/>
    </row>
    <row r="78" spans="1:13" ht="12" customHeight="1">
      <c r="A78" s="92" t="s">
        <v>321</v>
      </c>
      <c r="C78" s="23">
        <v>3997856</v>
      </c>
      <c r="D78" s="793">
        <v>-7.7</v>
      </c>
      <c r="E78" s="92">
        <v>3955896</v>
      </c>
      <c r="F78" s="793">
        <v>-7.8</v>
      </c>
      <c r="G78" s="23">
        <f t="shared" si="9"/>
        <v>41960</v>
      </c>
      <c r="H78" s="209"/>
      <c r="I78" s="209"/>
      <c r="J78" s="209"/>
      <c r="K78" s="209"/>
      <c r="L78" s="209"/>
      <c r="M78" s="209"/>
    </row>
    <row r="79" spans="1:13" ht="12" customHeight="1">
      <c r="A79" s="92" t="s">
        <v>322</v>
      </c>
      <c r="C79" s="23">
        <v>1776715</v>
      </c>
      <c r="D79" s="793">
        <v>15.2</v>
      </c>
      <c r="E79" s="23">
        <v>650542</v>
      </c>
      <c r="F79" s="793">
        <v>15.4</v>
      </c>
      <c r="G79" s="23">
        <f t="shared" si="9"/>
        <v>1126173</v>
      </c>
      <c r="H79" s="209"/>
      <c r="I79" s="209"/>
      <c r="J79" s="209"/>
      <c r="K79" s="209"/>
      <c r="L79" s="209"/>
      <c r="M79" s="209"/>
    </row>
    <row r="80" spans="1:13" ht="12" customHeight="1">
      <c r="A80" s="92" t="s">
        <v>323</v>
      </c>
      <c r="C80" s="23">
        <v>1671121</v>
      </c>
      <c r="D80" s="793">
        <v>10.7</v>
      </c>
      <c r="E80" s="23">
        <v>577198</v>
      </c>
      <c r="F80" s="793">
        <v>13.6</v>
      </c>
      <c r="G80" s="23">
        <f t="shared" si="9"/>
        <v>1093923</v>
      </c>
      <c r="H80" s="209"/>
      <c r="L80" s="209"/>
      <c r="M80" s="209"/>
    </row>
    <row r="84" spans="1:6" ht="12" customHeight="1">
      <c r="B84" s="92">
        <v>2012</v>
      </c>
      <c r="C84" s="92">
        <v>2013</v>
      </c>
      <c r="D84" s="92">
        <v>2014</v>
      </c>
      <c r="E84" s="92">
        <v>2015</v>
      </c>
      <c r="F84" s="92" t="s">
        <v>1533</v>
      </c>
    </row>
    <row r="85" spans="1:6" ht="12" customHeight="1">
      <c r="A85" s="92" t="s">
        <v>324</v>
      </c>
      <c r="B85" s="794">
        <v>61556202</v>
      </c>
      <c r="C85" s="794">
        <v>62052971</v>
      </c>
      <c r="D85" s="794">
        <v>63813756</v>
      </c>
      <c r="E85" s="794">
        <v>65766986</v>
      </c>
      <c r="F85" s="92">
        <v>65933145</v>
      </c>
    </row>
    <row r="86" spans="1:6" ht="12" customHeight="1">
      <c r="A86" s="92" t="s">
        <v>325</v>
      </c>
      <c r="B86" s="794">
        <v>27232263</v>
      </c>
      <c r="C86" s="794">
        <v>28274154</v>
      </c>
      <c r="D86" s="794">
        <v>28862586</v>
      </c>
      <c r="E86" s="794">
        <v>29664993</v>
      </c>
      <c r="F86" s="92">
        <v>31237865</v>
      </c>
    </row>
    <row r="87" spans="1:6" ht="12" customHeight="1">
      <c r="A87" s="92" t="s">
        <v>314</v>
      </c>
      <c r="B87" s="794">
        <v>11189896</v>
      </c>
      <c r="C87" s="794">
        <v>11554251</v>
      </c>
      <c r="D87" s="794">
        <v>11660208</v>
      </c>
      <c r="E87" s="794">
        <v>12016730</v>
      </c>
      <c r="F87" s="92">
        <v>12427427</v>
      </c>
    </row>
    <row r="88" spans="1:6" ht="12" customHeight="1">
      <c r="A88" s="92" t="s">
        <v>315</v>
      </c>
      <c r="B88" s="794">
        <v>8451039</v>
      </c>
      <c r="C88" s="794">
        <v>8562298</v>
      </c>
      <c r="D88" s="794">
        <v>84670983</v>
      </c>
      <c r="E88" s="794">
        <v>8703354</v>
      </c>
      <c r="F88" s="92">
        <v>9553250</v>
      </c>
    </row>
    <row r="89" spans="1:6" ht="12" customHeight="1">
      <c r="A89" s="92" t="s">
        <v>326</v>
      </c>
      <c r="B89" s="794">
        <v>8295479</v>
      </c>
      <c r="C89" s="794">
        <v>8260619</v>
      </c>
      <c r="D89" s="794">
        <v>8182237</v>
      </c>
      <c r="E89" s="794">
        <v>8261804</v>
      </c>
      <c r="F89" s="92">
        <v>8475809</v>
      </c>
    </row>
    <row r="90" spans="1:6" ht="12" customHeight="1">
      <c r="A90" s="92" t="s">
        <v>327</v>
      </c>
      <c r="B90" s="794">
        <v>7559350</v>
      </c>
      <c r="C90" s="794">
        <v>7567643</v>
      </c>
      <c r="D90" s="794">
        <v>7517736</v>
      </c>
      <c r="E90" s="794">
        <v>7669054</v>
      </c>
      <c r="F90" s="92">
        <v>8081179</v>
      </c>
    </row>
    <row r="91" spans="1:6" ht="12" customHeight="1">
      <c r="A91" s="92" t="s">
        <v>328</v>
      </c>
      <c r="B91" s="794">
        <v>5349872</v>
      </c>
      <c r="C91" s="794">
        <v>5876129</v>
      </c>
      <c r="D91" s="794">
        <v>6519393</v>
      </c>
      <c r="E91" s="794">
        <v>7056114</v>
      </c>
      <c r="F91" s="92">
        <v>7309744</v>
      </c>
    </row>
    <row r="92" spans="1:6" ht="12" customHeight="1">
      <c r="A92" s="92" t="s">
        <v>329</v>
      </c>
      <c r="B92" s="794">
        <v>4428072</v>
      </c>
      <c r="C92" s="794">
        <v>4617608</v>
      </c>
      <c r="D92" s="794">
        <v>4945029</v>
      </c>
      <c r="E92" s="794">
        <v>5323294</v>
      </c>
      <c r="F92" s="92">
        <v>5779569</v>
      </c>
    </row>
    <row r="93" spans="1:6" ht="12" customHeight="1">
      <c r="A93" s="92" t="s">
        <v>330</v>
      </c>
      <c r="B93" s="794">
        <v>3631693</v>
      </c>
      <c r="C93" s="794">
        <v>3930849</v>
      </c>
      <c r="D93" s="794">
        <v>4157284</v>
      </c>
      <c r="E93" s="794">
        <v>4394996</v>
      </c>
      <c r="F93" s="92">
        <v>4778967</v>
      </c>
    </row>
    <row r="94" spans="1:6" ht="12" customHeight="1">
      <c r="A94" s="92" t="s">
        <v>321</v>
      </c>
      <c r="B94" s="794">
        <v>3862562</v>
      </c>
      <c r="C94" s="794">
        <v>3952908</v>
      </c>
      <c r="D94" s="794">
        <v>4024201</v>
      </c>
      <c r="E94" s="794">
        <v>4330019</v>
      </c>
      <c r="F94" s="92">
        <v>3997856</v>
      </c>
    </row>
    <row r="96" spans="1:6" ht="12" customHeight="1">
      <c r="B96" s="92">
        <v>2012</v>
      </c>
      <c r="C96" s="92">
        <v>2013</v>
      </c>
      <c r="D96" s="92">
        <v>2014</v>
      </c>
      <c r="E96" s="92">
        <v>2015</v>
      </c>
      <c r="F96" s="92" t="s">
        <v>1533</v>
      </c>
    </row>
    <row r="97" spans="1:19" ht="12" customHeight="1">
      <c r="A97" s="92" t="s">
        <v>324</v>
      </c>
      <c r="B97" s="92">
        <v>1</v>
      </c>
      <c r="C97" s="92">
        <f t="shared" ref="C97:F106" si="10">B97*(C85/B85)</f>
        <v>1.0080701697612857</v>
      </c>
      <c r="D97" s="92">
        <f t="shared" si="10"/>
        <v>1.0366746798316113</v>
      </c>
      <c r="E97" s="92">
        <f t="shared" si="10"/>
        <v>1.0684055198857136</v>
      </c>
      <c r="F97" s="92">
        <f t="shared" si="10"/>
        <v>1.0711048254731508</v>
      </c>
    </row>
    <row r="98" spans="1:19" ht="12" customHeight="1">
      <c r="A98" s="92" t="s">
        <v>325</v>
      </c>
      <c r="B98" s="92">
        <v>1</v>
      </c>
      <c r="C98" s="92">
        <f t="shared" si="10"/>
        <v>1.0382594351413248</v>
      </c>
      <c r="D98" s="92">
        <f t="shared" si="10"/>
        <v>1.0598673345656218</v>
      </c>
      <c r="E98" s="92">
        <f t="shared" si="10"/>
        <v>1.0893326419475313</v>
      </c>
      <c r="F98" s="92">
        <f t="shared" si="10"/>
        <v>1.1470903097550138</v>
      </c>
    </row>
    <row r="99" spans="1:19" ht="12" customHeight="1">
      <c r="A99" s="92" t="s">
        <v>314</v>
      </c>
      <c r="B99" s="92">
        <v>1</v>
      </c>
      <c r="C99" s="92">
        <f t="shared" si="10"/>
        <v>1.0325610711663451</v>
      </c>
      <c r="D99" s="92">
        <f t="shared" si="10"/>
        <v>1.0420300599755352</v>
      </c>
      <c r="E99" s="92">
        <f t="shared" si="10"/>
        <v>1.073891124636011</v>
      </c>
      <c r="F99" s="92">
        <f t="shared" si="10"/>
        <v>1.110593610521492</v>
      </c>
    </row>
    <row r="100" spans="1:19" ht="12" customHeight="1">
      <c r="A100" s="92" t="s">
        <v>315</v>
      </c>
      <c r="B100" s="92">
        <v>1</v>
      </c>
      <c r="C100" s="92">
        <f t="shared" si="10"/>
        <v>1.0131651267968353</v>
      </c>
      <c r="D100" s="92">
        <f t="shared" si="10"/>
        <v>10.019002752205971</v>
      </c>
      <c r="E100" s="92">
        <f t="shared" si="10"/>
        <v>1.0298560922509055</v>
      </c>
      <c r="F100" s="92">
        <f t="shared" si="10"/>
        <v>1.1304231349541753</v>
      </c>
    </row>
    <row r="101" spans="1:19" ht="12" customHeight="1">
      <c r="A101" s="92" t="s">
        <v>326</v>
      </c>
      <c r="B101" s="92">
        <v>1</v>
      </c>
      <c r="C101" s="92">
        <f t="shared" si="10"/>
        <v>0.99579771101825465</v>
      </c>
      <c r="D101" s="92">
        <f t="shared" si="10"/>
        <v>0.98634894983158905</v>
      </c>
      <c r="E101" s="92">
        <f t="shared" si="10"/>
        <v>0.99594055991221253</v>
      </c>
      <c r="F101" s="92">
        <f t="shared" si="10"/>
        <v>1.0217383468754486</v>
      </c>
    </row>
    <row r="102" spans="1:19" ht="12" customHeight="1">
      <c r="A102" s="92" t="s">
        <v>327</v>
      </c>
      <c r="B102" s="92">
        <v>1</v>
      </c>
      <c r="C102" s="92">
        <f t="shared" si="10"/>
        <v>1.0010970519952112</v>
      </c>
      <c r="D102" s="92">
        <f t="shared" si="10"/>
        <v>0.9944950293345326</v>
      </c>
      <c r="E102" s="92">
        <f t="shared" si="10"/>
        <v>1.0145123588668334</v>
      </c>
      <c r="F102" s="92">
        <f t="shared" si="10"/>
        <v>1.0690309351994547</v>
      </c>
    </row>
    <row r="103" spans="1:19" ht="12" customHeight="1">
      <c r="A103" s="92" t="s">
        <v>328</v>
      </c>
      <c r="B103" s="92">
        <v>1</v>
      </c>
      <c r="C103" s="92">
        <f t="shared" si="10"/>
        <v>1.0983681478734444</v>
      </c>
      <c r="D103" s="92">
        <f t="shared" si="10"/>
        <v>1.2186072863051676</v>
      </c>
      <c r="E103" s="92">
        <f t="shared" si="10"/>
        <v>1.3189313688252726</v>
      </c>
      <c r="F103" s="92">
        <f t="shared" si="10"/>
        <v>1.3663399797228792</v>
      </c>
    </row>
    <row r="104" spans="1:19" ht="12" customHeight="1">
      <c r="A104" s="92" t="s">
        <v>329</v>
      </c>
      <c r="B104" s="92">
        <v>1</v>
      </c>
      <c r="C104" s="92">
        <f t="shared" si="10"/>
        <v>1.0428032787181418</v>
      </c>
      <c r="D104" s="92">
        <f t="shared" si="10"/>
        <v>1.1167453916738481</v>
      </c>
      <c r="E104" s="92">
        <f t="shared" si="10"/>
        <v>1.2021697027509941</v>
      </c>
      <c r="F104" s="92">
        <f t="shared" si="10"/>
        <v>1.3052111618781266</v>
      </c>
    </row>
    <row r="105" spans="1:19" ht="12" customHeight="1">
      <c r="A105" s="92" t="s">
        <v>330</v>
      </c>
      <c r="B105" s="92">
        <v>1</v>
      </c>
      <c r="C105" s="92">
        <f t="shared" si="10"/>
        <v>1.0823737028432745</v>
      </c>
      <c r="D105" s="92">
        <f t="shared" si="10"/>
        <v>1.1447234113676459</v>
      </c>
      <c r="E105" s="92">
        <f t="shared" si="10"/>
        <v>1.2101782832414523</v>
      </c>
      <c r="F105" s="92">
        <f t="shared" si="10"/>
        <v>1.3159061077023855</v>
      </c>
    </row>
    <row r="106" spans="1:19" ht="12" customHeight="1">
      <c r="A106" s="92" t="s">
        <v>321</v>
      </c>
      <c r="B106" s="92">
        <v>1</v>
      </c>
      <c r="C106" s="92">
        <f t="shared" si="10"/>
        <v>1.0233901747078753</v>
      </c>
      <c r="D106" s="92">
        <f t="shared" si="10"/>
        <v>1.0418476130609684</v>
      </c>
      <c r="E106" s="92">
        <f t="shared" si="10"/>
        <v>1.1210225233925049</v>
      </c>
      <c r="F106" s="92">
        <f t="shared" si="10"/>
        <v>1.0350270105696686</v>
      </c>
    </row>
    <row r="108" spans="1:19" s="127" customFormat="1" ht="12" customHeight="1">
      <c r="A108" s="128" t="s">
        <v>1665</v>
      </c>
      <c r="H108" s="697" t="s">
        <v>1664</v>
      </c>
    </row>
    <row r="110" spans="1:19" ht="12" customHeight="1">
      <c r="A110" s="92" t="s">
        <v>405</v>
      </c>
      <c r="C110" s="141" t="s">
        <v>406</v>
      </c>
    </row>
    <row r="111" spans="1:19" ht="12" customHeight="1">
      <c r="A111" s="92" t="s">
        <v>407</v>
      </c>
      <c r="C111" s="92" t="s">
        <v>408</v>
      </c>
    </row>
    <row r="112" spans="1:19" ht="12" customHeight="1">
      <c r="A112" s="92" t="s">
        <v>307</v>
      </c>
      <c r="B112" s="92">
        <v>2015</v>
      </c>
      <c r="C112" s="92" t="s">
        <v>331</v>
      </c>
      <c r="D112" s="961" t="s">
        <v>646</v>
      </c>
      <c r="E112" s="961">
        <v>2009</v>
      </c>
      <c r="F112" s="961">
        <v>2010</v>
      </c>
      <c r="G112" s="961">
        <v>2011</v>
      </c>
      <c r="H112" s="961" t="s">
        <v>106</v>
      </c>
      <c r="I112" s="961" t="s">
        <v>107</v>
      </c>
      <c r="J112" s="961" t="s">
        <v>108</v>
      </c>
      <c r="K112" s="961" t="s">
        <v>109</v>
      </c>
      <c r="L112"/>
      <c r="M112"/>
      <c r="N112"/>
      <c r="O112"/>
      <c r="P112"/>
      <c r="Q112"/>
      <c r="R112"/>
      <c r="S112"/>
    </row>
    <row r="113" spans="1:11" customFormat="1" ht="15">
      <c r="A113" s="138" t="s">
        <v>243</v>
      </c>
      <c r="B113" s="142">
        <v>48575</v>
      </c>
      <c r="C113" s="139">
        <f t="shared" ref="C113:C127" si="11">RANK(B113,$B$113:$B$127)</f>
        <v>1</v>
      </c>
      <c r="D113" s="962" t="s">
        <v>234</v>
      </c>
      <c r="E113" s="962">
        <v>35658</v>
      </c>
      <c r="F113" s="962">
        <v>37030</v>
      </c>
      <c r="G113" s="962">
        <v>37388</v>
      </c>
      <c r="H113" s="962">
        <v>37400</v>
      </c>
      <c r="I113" s="962">
        <v>37180</v>
      </c>
      <c r="J113" s="962">
        <v>36935</v>
      </c>
      <c r="K113" s="962">
        <v>37310</v>
      </c>
    </row>
    <row r="114" spans="1:11" customFormat="1" ht="15">
      <c r="A114" s="138" t="s">
        <v>236</v>
      </c>
      <c r="B114" s="142">
        <v>44059</v>
      </c>
      <c r="C114" s="139">
        <f t="shared" si="11"/>
        <v>2</v>
      </c>
      <c r="D114" s="962" t="s">
        <v>235</v>
      </c>
      <c r="E114" s="962">
        <v>36358</v>
      </c>
      <c r="F114" s="962">
        <v>37820</v>
      </c>
      <c r="G114" s="962">
        <v>37862</v>
      </c>
      <c r="H114" s="962">
        <v>39092</v>
      </c>
      <c r="I114" s="962">
        <v>38034</v>
      </c>
      <c r="J114" s="962">
        <v>38206</v>
      </c>
      <c r="K114" s="962">
        <v>38303</v>
      </c>
    </row>
    <row r="115" spans="1:11" customFormat="1" ht="15">
      <c r="A115" s="138" t="s">
        <v>235</v>
      </c>
      <c r="B115" s="142">
        <v>38303</v>
      </c>
      <c r="C115" s="139">
        <f t="shared" si="11"/>
        <v>3</v>
      </c>
      <c r="D115" s="962" t="s">
        <v>236</v>
      </c>
      <c r="E115" s="962">
        <v>40887</v>
      </c>
      <c r="F115" s="962">
        <v>40133</v>
      </c>
      <c r="G115" s="962">
        <v>41440</v>
      </c>
      <c r="H115" s="962">
        <v>42539</v>
      </c>
      <c r="I115" s="962">
        <v>43035</v>
      </c>
      <c r="J115" s="962">
        <v>43620</v>
      </c>
      <c r="K115" s="962">
        <v>44059</v>
      </c>
    </row>
    <row r="116" spans="1:11" customFormat="1" ht="15">
      <c r="A116" s="138" t="s">
        <v>240</v>
      </c>
      <c r="B116" s="142">
        <v>37454</v>
      </c>
      <c r="C116" s="139">
        <f t="shared" si="11"/>
        <v>4</v>
      </c>
      <c r="D116" s="962" t="s">
        <v>114</v>
      </c>
      <c r="E116" s="962">
        <v>35339</v>
      </c>
      <c r="F116" s="962">
        <v>35810</v>
      </c>
      <c r="G116" s="962">
        <v>36629</v>
      </c>
      <c r="H116" s="962">
        <v>36415</v>
      </c>
      <c r="I116" s="962">
        <v>35271</v>
      </c>
      <c r="J116" s="962">
        <v>35916</v>
      </c>
      <c r="K116" s="962">
        <v>36155</v>
      </c>
    </row>
    <row r="117" spans="1:11" customFormat="1" ht="15">
      <c r="A117" s="138" t="s">
        <v>234</v>
      </c>
      <c r="B117" s="142">
        <v>37310</v>
      </c>
      <c r="C117" s="139">
        <f t="shared" si="11"/>
        <v>5</v>
      </c>
      <c r="D117" s="962" t="s">
        <v>237</v>
      </c>
      <c r="E117" s="962">
        <v>31834</v>
      </c>
      <c r="F117" s="962">
        <v>31940</v>
      </c>
      <c r="G117" s="962">
        <v>32351</v>
      </c>
      <c r="H117" s="962">
        <v>31849</v>
      </c>
      <c r="I117" s="962">
        <v>31107</v>
      </c>
      <c r="J117" s="962">
        <v>31014</v>
      </c>
      <c r="K117" s="962">
        <v>30770</v>
      </c>
    </row>
    <row r="118" spans="1:11" customFormat="1" ht="15">
      <c r="A118" s="138" t="s">
        <v>242</v>
      </c>
      <c r="B118" s="142">
        <v>36599</v>
      </c>
      <c r="C118" s="139">
        <f t="shared" si="11"/>
        <v>6</v>
      </c>
      <c r="D118" s="962" t="s">
        <v>238</v>
      </c>
      <c r="E118" s="962">
        <v>34929</v>
      </c>
      <c r="F118" s="962">
        <v>34897</v>
      </c>
      <c r="G118" s="962">
        <v>35945</v>
      </c>
      <c r="H118" s="962">
        <v>35687</v>
      </c>
      <c r="I118" s="962">
        <v>35517</v>
      </c>
      <c r="J118" s="962">
        <v>35922</v>
      </c>
      <c r="K118" s="962">
        <v>36124</v>
      </c>
    </row>
    <row r="119" spans="1:11" customFormat="1" ht="15">
      <c r="A119" s="138" t="s">
        <v>114</v>
      </c>
      <c r="B119" s="142">
        <v>36155</v>
      </c>
      <c r="C119" s="139">
        <f t="shared" si="11"/>
        <v>7</v>
      </c>
      <c r="D119" s="962" t="s">
        <v>239</v>
      </c>
      <c r="E119" s="962">
        <v>34387</v>
      </c>
      <c r="F119" s="962">
        <v>34835</v>
      </c>
      <c r="G119" s="962">
        <v>35527</v>
      </c>
      <c r="H119" s="962">
        <v>34817</v>
      </c>
      <c r="I119" s="962">
        <v>34507</v>
      </c>
      <c r="J119" s="962">
        <v>34826</v>
      </c>
      <c r="K119" s="962">
        <v>34402</v>
      </c>
    </row>
    <row r="120" spans="1:11" customFormat="1" ht="15">
      <c r="A120" s="138" t="s">
        <v>238</v>
      </c>
      <c r="B120" s="142">
        <v>36124</v>
      </c>
      <c r="C120" s="139">
        <f t="shared" si="11"/>
        <v>8</v>
      </c>
      <c r="D120" s="962" t="s">
        <v>240</v>
      </c>
      <c r="E120" s="962">
        <v>35748</v>
      </c>
      <c r="F120" s="962">
        <v>35263</v>
      </c>
      <c r="G120" s="962">
        <v>36655</v>
      </c>
      <c r="H120" s="962">
        <v>36605</v>
      </c>
      <c r="I120" s="962">
        <v>36534</v>
      </c>
      <c r="J120" s="962">
        <v>36609</v>
      </c>
      <c r="K120" s="962">
        <v>37454</v>
      </c>
    </row>
    <row r="121" spans="1:11" customFormat="1" ht="15">
      <c r="A121" s="138" t="s">
        <v>244</v>
      </c>
      <c r="B121" s="142">
        <v>34534</v>
      </c>
      <c r="C121" s="139">
        <f t="shared" si="11"/>
        <v>9</v>
      </c>
      <c r="D121" s="962" t="s">
        <v>241</v>
      </c>
      <c r="E121" s="962">
        <v>31426</v>
      </c>
      <c r="F121" s="962">
        <v>31344</v>
      </c>
      <c r="G121" s="962">
        <v>32273</v>
      </c>
      <c r="H121" s="962">
        <v>31721</v>
      </c>
      <c r="I121" s="962">
        <v>31879</v>
      </c>
      <c r="J121" s="962">
        <v>31802</v>
      </c>
      <c r="K121" s="962">
        <v>32233</v>
      </c>
    </row>
    <row r="122" spans="1:11" customFormat="1" ht="15">
      <c r="A122" s="138" t="s">
        <v>239</v>
      </c>
      <c r="B122" s="142">
        <v>34402</v>
      </c>
      <c r="C122" s="139">
        <f t="shared" si="11"/>
        <v>10</v>
      </c>
      <c r="D122" s="962" t="s">
        <v>247</v>
      </c>
      <c r="E122" s="962">
        <v>24793</v>
      </c>
      <c r="F122" s="962">
        <v>24736</v>
      </c>
      <c r="G122" s="962">
        <v>25282</v>
      </c>
      <c r="H122" s="962">
        <v>24873</v>
      </c>
      <c r="I122" s="962">
        <v>24922</v>
      </c>
      <c r="J122" s="962">
        <v>24792</v>
      </c>
      <c r="K122" s="962">
        <v>24500</v>
      </c>
    </row>
    <row r="123" spans="1:11" customFormat="1" ht="15">
      <c r="A123" s="138" t="s">
        <v>241</v>
      </c>
      <c r="B123" s="142">
        <v>32233</v>
      </c>
      <c r="C123" s="139">
        <f t="shared" si="11"/>
        <v>11</v>
      </c>
      <c r="D123" s="962" t="s">
        <v>242</v>
      </c>
      <c r="E123" s="962">
        <v>36225</v>
      </c>
      <c r="F123" s="962">
        <v>35832</v>
      </c>
      <c r="G123" s="962">
        <v>36659</v>
      </c>
      <c r="H123" s="962">
        <v>35978</v>
      </c>
      <c r="I123" s="962">
        <v>36190</v>
      </c>
      <c r="J123" s="962">
        <v>36725</v>
      </c>
      <c r="K123" s="962">
        <v>36599</v>
      </c>
    </row>
    <row r="124" spans="1:11" customFormat="1" ht="15">
      <c r="A124" s="138" t="s">
        <v>246</v>
      </c>
      <c r="B124" s="142">
        <v>31842</v>
      </c>
      <c r="C124" s="139">
        <f t="shared" si="11"/>
        <v>12</v>
      </c>
      <c r="D124" s="962" t="s">
        <v>243</v>
      </c>
      <c r="E124" s="962">
        <v>46310</v>
      </c>
      <c r="F124" s="962">
        <v>47373</v>
      </c>
      <c r="G124" s="962">
        <v>48136</v>
      </c>
      <c r="H124" s="962">
        <v>48272</v>
      </c>
      <c r="I124" s="962">
        <v>47779</v>
      </c>
      <c r="J124" s="962">
        <v>47972</v>
      </c>
      <c r="K124" s="962">
        <v>48575</v>
      </c>
    </row>
    <row r="125" spans="1:11" customFormat="1" ht="15">
      <c r="A125" s="138" t="s">
        <v>237</v>
      </c>
      <c r="B125" s="142">
        <v>30770</v>
      </c>
      <c r="C125" s="139">
        <f t="shared" si="11"/>
        <v>13</v>
      </c>
      <c r="D125" s="962" t="s">
        <v>244</v>
      </c>
      <c r="E125" s="962">
        <v>33011</v>
      </c>
      <c r="F125" s="962">
        <v>33594</v>
      </c>
      <c r="G125" s="962">
        <v>34408</v>
      </c>
      <c r="H125" s="962">
        <v>34441</v>
      </c>
      <c r="I125" s="962">
        <v>34463</v>
      </c>
      <c r="J125" s="962">
        <v>34386</v>
      </c>
      <c r="K125" s="962">
        <v>34534</v>
      </c>
    </row>
    <row r="126" spans="1:11" customFormat="1" ht="15">
      <c r="A126" s="138" t="s">
        <v>245</v>
      </c>
      <c r="B126" s="142">
        <v>26125</v>
      </c>
      <c r="C126" s="139">
        <f t="shared" si="11"/>
        <v>14</v>
      </c>
      <c r="D126" s="962" t="s">
        <v>245</v>
      </c>
      <c r="E126" s="962">
        <v>26835</v>
      </c>
      <c r="F126" s="962">
        <v>27251</v>
      </c>
      <c r="G126" s="962">
        <v>27658</v>
      </c>
      <c r="H126" s="962">
        <v>27465</v>
      </c>
      <c r="I126" s="962">
        <v>26945</v>
      </c>
      <c r="J126" s="962">
        <v>26095</v>
      </c>
      <c r="K126" s="962">
        <v>26125</v>
      </c>
    </row>
    <row r="127" spans="1:11" customFormat="1" ht="15">
      <c r="A127" s="138" t="s">
        <v>247</v>
      </c>
      <c r="B127" s="142">
        <v>24500</v>
      </c>
      <c r="C127" s="139">
        <f t="shared" si="11"/>
        <v>15</v>
      </c>
      <c r="D127" s="962" t="s">
        <v>246</v>
      </c>
      <c r="E127" s="962">
        <v>31283</v>
      </c>
      <c r="F127" s="962">
        <v>31151</v>
      </c>
      <c r="G127" s="962">
        <v>32005</v>
      </c>
      <c r="H127" s="962">
        <v>31985</v>
      </c>
      <c r="I127" s="962">
        <v>32453</v>
      </c>
      <c r="J127" s="962">
        <v>32073</v>
      </c>
      <c r="K127" s="962">
        <v>31842</v>
      </c>
    </row>
    <row r="128" spans="1:11" customFormat="1" ht="15"/>
    <row r="132" spans="1:19" ht="12" customHeight="1">
      <c r="A132" s="92" t="s">
        <v>405</v>
      </c>
      <c r="C132" s="141" t="s">
        <v>409</v>
      </c>
    </row>
    <row r="133" spans="1:19" ht="12" customHeight="1">
      <c r="A133" s="92" t="s">
        <v>407</v>
      </c>
      <c r="C133" s="92" t="s">
        <v>410</v>
      </c>
    </row>
    <row r="134" spans="1:19" s="140" customFormat="1" ht="12" customHeight="1">
      <c r="A134" s="961" t="s">
        <v>646</v>
      </c>
      <c r="B134" s="143" t="s">
        <v>106</v>
      </c>
      <c r="C134" s="140" t="s">
        <v>331</v>
      </c>
      <c r="D134" s="961">
        <v>2007</v>
      </c>
      <c r="E134" s="961">
        <v>2008</v>
      </c>
      <c r="F134" s="961">
        <v>2009</v>
      </c>
      <c r="G134" s="961">
        <v>2010</v>
      </c>
      <c r="H134" s="961">
        <v>2011</v>
      </c>
      <c r="I134" s="961" t="s">
        <v>106</v>
      </c>
      <c r="J134" s="961" t="s">
        <v>107</v>
      </c>
      <c r="K134" s="961" t="s">
        <v>108</v>
      </c>
      <c r="L134" s="961" t="s">
        <v>109</v>
      </c>
      <c r="M134"/>
      <c r="N134"/>
      <c r="O134"/>
      <c r="P134"/>
      <c r="Q134"/>
      <c r="R134"/>
      <c r="S134"/>
    </row>
    <row r="135" spans="1:19" customFormat="1" ht="15">
      <c r="A135" s="962" t="s">
        <v>234</v>
      </c>
      <c r="B135" s="92"/>
      <c r="C135" s="92"/>
      <c r="D135" s="962">
        <v>36442</v>
      </c>
      <c r="E135" s="962">
        <v>37214</v>
      </c>
      <c r="F135" s="962">
        <v>35658</v>
      </c>
      <c r="G135" s="962">
        <v>37030</v>
      </c>
      <c r="H135" s="962">
        <v>37388</v>
      </c>
      <c r="I135" s="962">
        <v>37400</v>
      </c>
      <c r="J135" s="962">
        <v>37180</v>
      </c>
      <c r="K135" s="962">
        <v>36935</v>
      </c>
      <c r="L135" s="962">
        <v>37310</v>
      </c>
    </row>
    <row r="136" spans="1:19" customFormat="1" ht="15">
      <c r="A136" s="962" t="s">
        <v>235</v>
      </c>
      <c r="B136" s="92"/>
      <c r="C136" s="92"/>
      <c r="D136" s="962">
        <v>36885</v>
      </c>
      <c r="E136" s="962">
        <v>36837</v>
      </c>
      <c r="F136" s="962">
        <v>36358</v>
      </c>
      <c r="G136" s="962">
        <v>37820</v>
      </c>
      <c r="H136" s="962">
        <v>37862</v>
      </c>
      <c r="I136" s="962">
        <v>39092</v>
      </c>
      <c r="J136" s="962">
        <v>38034</v>
      </c>
      <c r="K136" s="962">
        <v>38206</v>
      </c>
      <c r="L136" s="962">
        <v>38303</v>
      </c>
    </row>
    <row r="137" spans="1:19" customFormat="1" ht="15">
      <c r="A137" s="962" t="s">
        <v>236</v>
      </c>
      <c r="B137" s="92"/>
      <c r="C137" s="92"/>
      <c r="D137" s="962">
        <v>41215</v>
      </c>
      <c r="E137" s="962">
        <v>40464</v>
      </c>
      <c r="F137" s="962">
        <v>40887</v>
      </c>
      <c r="G137" s="962">
        <v>40133</v>
      </c>
      <c r="H137" s="962">
        <v>41440</v>
      </c>
      <c r="I137" s="962">
        <v>42539</v>
      </c>
      <c r="J137" s="962">
        <v>43035</v>
      </c>
      <c r="K137" s="962">
        <v>43620</v>
      </c>
      <c r="L137" s="962">
        <v>44059</v>
      </c>
    </row>
    <row r="138" spans="1:19" customFormat="1" ht="15">
      <c r="A138" s="962" t="s">
        <v>114</v>
      </c>
      <c r="B138" s="92"/>
      <c r="C138" s="92"/>
      <c r="D138" s="962">
        <v>35515</v>
      </c>
      <c r="E138" s="962">
        <v>36802</v>
      </c>
      <c r="F138" s="962">
        <v>35339</v>
      </c>
      <c r="G138" s="962">
        <v>35810</v>
      </c>
      <c r="H138" s="962">
        <v>36629</v>
      </c>
      <c r="I138" s="962">
        <v>36415</v>
      </c>
      <c r="J138" s="962">
        <v>35271</v>
      </c>
      <c r="K138" s="962">
        <v>35916</v>
      </c>
      <c r="L138" s="962">
        <v>36155</v>
      </c>
    </row>
    <row r="139" spans="1:19" customFormat="1" ht="15">
      <c r="A139" s="962" t="s">
        <v>237</v>
      </c>
      <c r="B139" s="92"/>
      <c r="C139" s="92"/>
      <c r="D139" s="962">
        <v>32351</v>
      </c>
      <c r="E139" s="962">
        <v>30926</v>
      </c>
      <c r="F139" s="962">
        <v>31834</v>
      </c>
      <c r="G139" s="962">
        <v>31940</v>
      </c>
      <c r="H139" s="962">
        <v>32351</v>
      </c>
      <c r="I139" s="962">
        <v>31849</v>
      </c>
      <c r="J139" s="962">
        <v>31107</v>
      </c>
      <c r="K139" s="962">
        <v>31014</v>
      </c>
      <c r="L139" s="962">
        <v>30770</v>
      </c>
    </row>
    <row r="140" spans="1:19" customFormat="1" ht="15">
      <c r="A140" s="962" t="s">
        <v>238</v>
      </c>
      <c r="B140" s="92"/>
      <c r="C140" s="92"/>
      <c r="D140" s="962">
        <v>36134</v>
      </c>
      <c r="E140" s="962">
        <v>36549</v>
      </c>
      <c r="F140" s="962">
        <v>34929</v>
      </c>
      <c r="G140" s="962">
        <v>34897</v>
      </c>
      <c r="H140" s="962">
        <v>35945</v>
      </c>
      <c r="I140" s="962">
        <v>35687</v>
      </c>
      <c r="J140" s="962">
        <v>35517</v>
      </c>
      <c r="K140" s="962">
        <v>35922</v>
      </c>
      <c r="L140" s="962">
        <v>36124</v>
      </c>
    </row>
    <row r="141" spans="1:19" customFormat="1" ht="15">
      <c r="A141" s="962" t="s">
        <v>239</v>
      </c>
      <c r="B141" s="92"/>
      <c r="C141" s="92"/>
      <c r="D141" s="962">
        <v>35686</v>
      </c>
      <c r="E141" s="962">
        <v>35682</v>
      </c>
      <c r="F141" s="962">
        <v>34387</v>
      </c>
      <c r="G141" s="962">
        <v>34835</v>
      </c>
      <c r="H141" s="962">
        <v>35527</v>
      </c>
      <c r="I141" s="962">
        <v>34817</v>
      </c>
      <c r="J141" s="962">
        <v>34507</v>
      </c>
      <c r="K141" s="962">
        <v>34826</v>
      </c>
      <c r="L141" s="962">
        <v>34402</v>
      </c>
    </row>
    <row r="142" spans="1:19" customFormat="1" ht="15">
      <c r="A142" s="962" t="s">
        <v>240</v>
      </c>
      <c r="B142" s="92"/>
      <c r="C142" s="92"/>
      <c r="D142" s="962">
        <v>36931</v>
      </c>
      <c r="E142" s="962">
        <v>36657</v>
      </c>
      <c r="F142" s="962">
        <v>35748</v>
      </c>
      <c r="G142" s="962">
        <v>35263</v>
      </c>
      <c r="H142" s="962">
        <v>36655</v>
      </c>
      <c r="I142" s="962">
        <v>36605</v>
      </c>
      <c r="J142" s="962">
        <v>36534</v>
      </c>
      <c r="K142" s="962">
        <v>36609</v>
      </c>
      <c r="L142" s="962">
        <v>37454</v>
      </c>
    </row>
    <row r="143" spans="1:19" customFormat="1" ht="15">
      <c r="A143" s="962" t="s">
        <v>241</v>
      </c>
      <c r="B143" s="92"/>
      <c r="C143" s="92"/>
      <c r="D143" s="962">
        <v>32480</v>
      </c>
      <c r="E143" s="962">
        <v>32392</v>
      </c>
      <c r="F143" s="962">
        <v>31426</v>
      </c>
      <c r="G143" s="962">
        <v>31344</v>
      </c>
      <c r="H143" s="962">
        <v>32273</v>
      </c>
      <c r="I143" s="962">
        <v>31721</v>
      </c>
      <c r="J143" s="962">
        <v>31879</v>
      </c>
      <c r="K143" s="962">
        <v>31802</v>
      </c>
      <c r="L143" s="962">
        <v>32233</v>
      </c>
    </row>
    <row r="144" spans="1:19" customFormat="1" ht="15">
      <c r="A144" s="962" t="s">
        <v>247</v>
      </c>
      <c r="B144" s="92"/>
      <c r="C144" s="92"/>
      <c r="D144" s="962">
        <v>25586</v>
      </c>
      <c r="E144" s="962">
        <v>25842</v>
      </c>
      <c r="F144" s="962">
        <v>24793</v>
      </c>
      <c r="G144" s="962">
        <v>24736</v>
      </c>
      <c r="H144" s="962">
        <v>25282</v>
      </c>
      <c r="I144" s="962">
        <v>24873</v>
      </c>
      <c r="J144" s="962">
        <v>24922</v>
      </c>
      <c r="K144" s="962">
        <v>24792</v>
      </c>
      <c r="L144" s="962">
        <v>24500</v>
      </c>
    </row>
    <row r="145" spans="1:19" customFormat="1" ht="15">
      <c r="A145" s="962" t="s">
        <v>242</v>
      </c>
      <c r="B145" s="92"/>
      <c r="C145" s="92"/>
      <c r="D145" s="962">
        <v>37203</v>
      </c>
      <c r="E145" s="962">
        <v>36747</v>
      </c>
      <c r="F145" s="962">
        <v>36225</v>
      </c>
      <c r="G145" s="962">
        <v>35832</v>
      </c>
      <c r="H145" s="962">
        <v>36659</v>
      </c>
      <c r="I145" s="962">
        <v>35978</v>
      </c>
      <c r="J145" s="962">
        <v>36190</v>
      </c>
      <c r="K145" s="962">
        <v>36725</v>
      </c>
      <c r="L145" s="962">
        <v>36599</v>
      </c>
    </row>
    <row r="146" spans="1:19" customFormat="1" ht="15">
      <c r="A146" s="962" t="s">
        <v>243</v>
      </c>
      <c r="B146" s="92"/>
      <c r="C146" s="92"/>
      <c r="D146" s="962">
        <v>48400</v>
      </c>
      <c r="E146" s="962">
        <v>46713</v>
      </c>
      <c r="F146" s="962">
        <v>46310</v>
      </c>
      <c r="G146" s="962">
        <v>47373</v>
      </c>
      <c r="H146" s="962">
        <v>48136</v>
      </c>
      <c r="I146" s="962">
        <v>48272</v>
      </c>
      <c r="J146" s="962">
        <v>47779</v>
      </c>
      <c r="K146" s="962">
        <v>47972</v>
      </c>
      <c r="L146" s="962">
        <v>48575</v>
      </c>
    </row>
    <row r="147" spans="1:19" customFormat="1" ht="15">
      <c r="A147" s="962" t="s">
        <v>244</v>
      </c>
      <c r="B147" s="92"/>
      <c r="C147" s="92"/>
      <c r="D147" s="962">
        <v>34386</v>
      </c>
      <c r="E147" s="962">
        <v>35694</v>
      </c>
      <c r="F147" s="962">
        <v>33011</v>
      </c>
      <c r="G147" s="962">
        <v>33594</v>
      </c>
      <c r="H147" s="962">
        <v>34408</v>
      </c>
      <c r="I147" s="962">
        <v>34441</v>
      </c>
      <c r="J147" s="962">
        <v>34463</v>
      </c>
      <c r="K147" s="962">
        <v>34386</v>
      </c>
      <c r="L147" s="962">
        <v>34534</v>
      </c>
    </row>
    <row r="148" spans="1:19" customFormat="1" ht="15">
      <c r="A148" s="92"/>
      <c r="B148" s="92"/>
      <c r="C148" s="92"/>
      <c r="D148" s="92"/>
      <c r="E148" s="92"/>
      <c r="F148" s="92"/>
      <c r="G148" s="92"/>
      <c r="H148" s="92"/>
    </row>
    <row r="149" spans="1:19" customFormat="1" ht="15"/>
    <row r="150" spans="1:19" customFormat="1" ht="15"/>
    <row r="151" spans="1:19" ht="12" customHeight="1">
      <c r="I151"/>
      <c r="J151"/>
      <c r="K151"/>
      <c r="L151"/>
      <c r="M151"/>
      <c r="N151"/>
      <c r="O151"/>
      <c r="P151"/>
      <c r="Q151"/>
      <c r="R151"/>
      <c r="S151"/>
    </row>
    <row r="154" spans="1:19" ht="12" customHeight="1">
      <c r="A154" s="92" t="s">
        <v>745</v>
      </c>
    </row>
    <row r="155" spans="1:19" ht="12" customHeight="1">
      <c r="A155" t="s">
        <v>1950</v>
      </c>
      <c r="B155"/>
      <c r="C155"/>
    </row>
    <row r="156" spans="1:19" ht="12" customHeight="1">
      <c r="A156" t="s">
        <v>1951</v>
      </c>
      <c r="B156"/>
      <c r="C156"/>
    </row>
    <row r="157" spans="1:19" ht="12" customHeight="1">
      <c r="A157" t="s">
        <v>1952</v>
      </c>
      <c r="B157" s="58"/>
      <c r="C157"/>
    </row>
    <row r="158" spans="1:19" ht="12" customHeight="1">
      <c r="A158" t="s">
        <v>1953</v>
      </c>
      <c r="B158"/>
      <c r="C158"/>
    </row>
    <row r="160" spans="1:19" ht="12" customHeight="1">
      <c r="A160" s="92" t="s">
        <v>1120</v>
      </c>
      <c r="E160" s="92">
        <v>2007</v>
      </c>
      <c r="F160" s="92">
        <v>2008</v>
      </c>
      <c r="G160" s="92">
        <v>2009</v>
      </c>
      <c r="H160" s="92" t="s">
        <v>104</v>
      </c>
      <c r="I160" s="92" t="s">
        <v>105</v>
      </c>
      <c r="J160" s="92" t="s">
        <v>106</v>
      </c>
      <c r="K160" s="92">
        <v>2013</v>
      </c>
      <c r="L160" s="92">
        <v>2014</v>
      </c>
      <c r="M160" s="92">
        <v>2015</v>
      </c>
    </row>
    <row r="161" spans="1:13" ht="12" customHeight="1">
      <c r="A161" s="92" t="s">
        <v>747</v>
      </c>
      <c r="E161" s="794">
        <f>(D142/$G142)*100</f>
        <v>104.73017043359896</v>
      </c>
      <c r="F161" s="794">
        <f t="shared" ref="F161:M161" si="12">(E142/$G142)*100</f>
        <v>103.95315202903895</v>
      </c>
      <c r="G161" s="794">
        <f t="shared" si="12"/>
        <v>101.37537929274309</v>
      </c>
      <c r="H161" s="794">
        <f t="shared" si="12"/>
        <v>100</v>
      </c>
      <c r="I161" s="794">
        <f t="shared" si="12"/>
        <v>103.94748036185237</v>
      </c>
      <c r="J161" s="794">
        <f t="shared" si="12"/>
        <v>103.80568868218813</v>
      </c>
      <c r="K161" s="794">
        <f t="shared" si="12"/>
        <v>103.6043444970649</v>
      </c>
      <c r="L161" s="794">
        <f t="shared" si="12"/>
        <v>103.81703201656127</v>
      </c>
      <c r="M161" s="794">
        <f t="shared" si="12"/>
        <v>106.21331140288687</v>
      </c>
    </row>
    <row r="162" spans="1:13" ht="12" customHeight="1">
      <c r="A162" s="92" t="s">
        <v>114</v>
      </c>
      <c r="E162" s="794">
        <f>(D138/$G138)*100</f>
        <v>99.17620776319464</v>
      </c>
      <c r="F162" s="794">
        <f t="shared" ref="F162:M162" si="13">(E138/$G138)*100</f>
        <v>102.77017592851159</v>
      </c>
      <c r="G162" s="794">
        <f t="shared" si="13"/>
        <v>98.684724937168383</v>
      </c>
      <c r="H162" s="794">
        <f t="shared" si="13"/>
        <v>100</v>
      </c>
      <c r="I162" s="794">
        <f t="shared" si="13"/>
        <v>102.28707065065623</v>
      </c>
      <c r="J162" s="794">
        <f t="shared" si="13"/>
        <v>101.68947221446523</v>
      </c>
      <c r="K162" s="794">
        <f t="shared" si="13"/>
        <v>98.494833845294622</v>
      </c>
      <c r="L162" s="794">
        <f t="shared" si="13"/>
        <v>100.29600670203853</v>
      </c>
      <c r="M162" s="794">
        <f t="shared" si="13"/>
        <v>100.96341803965372</v>
      </c>
    </row>
    <row r="163" spans="1:13" ht="12" customHeight="1">
      <c r="A163" s="92" t="s">
        <v>236</v>
      </c>
      <c r="E163" s="794">
        <f>(D137/$G137)*100</f>
        <v>102.69603568135948</v>
      </c>
      <c r="F163" s="794">
        <f t="shared" ref="F163:M163" si="14">(E137/$G137)*100</f>
        <v>100.82475768071164</v>
      </c>
      <c r="G163" s="794">
        <f t="shared" si="14"/>
        <v>101.87875314579024</v>
      </c>
      <c r="H163" s="794">
        <f t="shared" si="14"/>
        <v>100</v>
      </c>
      <c r="I163" s="794">
        <f t="shared" si="14"/>
        <v>103.25667156703959</v>
      </c>
      <c r="J163" s="794">
        <f t="shared" si="14"/>
        <v>105.99506640420601</v>
      </c>
      <c r="K163" s="794">
        <f t="shared" si="14"/>
        <v>107.23095706774973</v>
      </c>
      <c r="L163" s="794">
        <f t="shared" si="14"/>
        <v>108.68861037051802</v>
      </c>
      <c r="M163" s="794">
        <f t="shared" si="14"/>
        <v>109.78247327635611</v>
      </c>
    </row>
    <row r="164" spans="1:13" ht="12" customHeight="1">
      <c r="A164" s="92" t="s">
        <v>243</v>
      </c>
      <c r="E164" s="794">
        <f>(D146/$G146)*100</f>
        <v>102.16790154729487</v>
      </c>
      <c r="F164" s="794">
        <f t="shared" ref="F164:M164" si="15">(E146/$G146)*100</f>
        <v>98.606801342536883</v>
      </c>
      <c r="G164" s="794">
        <f t="shared" si="15"/>
        <v>97.756105798661679</v>
      </c>
      <c r="H164" s="794">
        <f t="shared" si="15"/>
        <v>100</v>
      </c>
      <c r="I164" s="794">
        <f t="shared" si="15"/>
        <v>101.61062208430963</v>
      </c>
      <c r="J164" s="794">
        <f t="shared" si="15"/>
        <v>101.8977054440293</v>
      </c>
      <c r="K164" s="794">
        <f t="shared" si="15"/>
        <v>100.8570282650455</v>
      </c>
      <c r="L164" s="794">
        <f t="shared" si="15"/>
        <v>101.26443332700062</v>
      </c>
      <c r="M164" s="794">
        <f t="shared" si="15"/>
        <v>102.53731028222828</v>
      </c>
    </row>
    <row r="165" spans="1:13" ht="12" customHeight="1">
      <c r="A165" s="92" t="s">
        <v>748</v>
      </c>
      <c r="E165" s="794">
        <f>(D135/$G135)*100</f>
        <v>98.412098298676753</v>
      </c>
      <c r="F165" s="794">
        <f t="shared" ref="F165:M165" si="16">(E135/$G135)*100</f>
        <v>100.49689440993789</v>
      </c>
      <c r="G165" s="794">
        <f t="shared" si="16"/>
        <v>96.294896030245752</v>
      </c>
      <c r="H165" s="794">
        <f t="shared" si="16"/>
        <v>100</v>
      </c>
      <c r="I165" s="794">
        <f t="shared" si="16"/>
        <v>100.96678368890089</v>
      </c>
      <c r="J165" s="794">
        <f t="shared" si="16"/>
        <v>100.99918984607075</v>
      </c>
      <c r="K165" s="794">
        <f t="shared" si="16"/>
        <v>100.40507696462329</v>
      </c>
      <c r="L165" s="794">
        <f t="shared" si="16"/>
        <v>99.743451255738591</v>
      </c>
      <c r="M165" s="794">
        <f t="shared" si="16"/>
        <v>100.7561436672968</v>
      </c>
    </row>
    <row r="166" spans="1:13" ht="12" customHeight="1">
      <c r="A166" s="92" t="s">
        <v>749</v>
      </c>
      <c r="E166" s="794">
        <f>(D136/$G136)*100</f>
        <v>97.527763088313051</v>
      </c>
      <c r="F166" s="794">
        <f t="shared" ref="F166:M166" si="17">(E136/$G136)*100</f>
        <v>97.400846113167631</v>
      </c>
      <c r="G166" s="794">
        <f t="shared" si="17"/>
        <v>96.134320465362251</v>
      </c>
      <c r="H166" s="794">
        <f t="shared" si="17"/>
        <v>100</v>
      </c>
      <c r="I166" s="794">
        <f t="shared" si="17"/>
        <v>100.11105235325223</v>
      </c>
      <c r="J166" s="794">
        <f t="shared" si="17"/>
        <v>103.36329984135378</v>
      </c>
      <c r="K166" s="794">
        <f t="shared" si="17"/>
        <v>100.56583818085669</v>
      </c>
      <c r="L166" s="794">
        <f t="shared" si="17"/>
        <v>101.02062400846113</v>
      </c>
      <c r="M166" s="794">
        <f t="shared" si="17"/>
        <v>101.27710206240084</v>
      </c>
    </row>
    <row r="167" spans="1:13" ht="12" customHeight="1">
      <c r="A167" s="92" t="s">
        <v>746</v>
      </c>
      <c r="E167" s="794">
        <f>(D143/$G143)*100</f>
        <v>103.62429811128126</v>
      </c>
      <c r="F167" s="794">
        <f t="shared" ref="F167:M167" si="18">(E143/$G143)*100</f>
        <v>103.34354262378764</v>
      </c>
      <c r="G167" s="794">
        <f t="shared" si="18"/>
        <v>100.26161306789179</v>
      </c>
      <c r="H167" s="794">
        <f t="shared" si="18"/>
        <v>100</v>
      </c>
      <c r="I167" s="794">
        <f t="shared" si="18"/>
        <v>102.96388463501786</v>
      </c>
      <c r="J167" s="794">
        <f t="shared" si="18"/>
        <v>101.20278203164881</v>
      </c>
      <c r="K167" s="794">
        <f t="shared" si="18"/>
        <v>101.70686574783052</v>
      </c>
      <c r="L167" s="794">
        <f t="shared" si="18"/>
        <v>101.4612046962736</v>
      </c>
      <c r="M167" s="794">
        <f t="shared" si="18"/>
        <v>102.83626850433896</v>
      </c>
    </row>
    <row r="169" spans="1:13" ht="12" customHeight="1">
      <c r="B169" s="339" t="s">
        <v>1388</v>
      </c>
    </row>
  </sheetData>
  <sortState ref="A113:C127">
    <sortCondition ref="C113:C127"/>
  </sortState>
  <hyperlinks>
    <hyperlink ref="H3" r:id="rId1" xr:uid="{00000000-0004-0000-0800-000000000000}"/>
    <hyperlink ref="H34" r:id="rId2" xr:uid="{00000000-0004-0000-0800-000001000000}"/>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7</vt:i4>
      </vt:variant>
    </vt:vector>
  </HeadingPairs>
  <TitlesOfParts>
    <vt:vector size="37" baseType="lpstr">
      <vt:lpstr>Emploi-old</vt:lpstr>
      <vt:lpstr>Glossaire_old</vt:lpstr>
      <vt:lpstr>D_Ch-1</vt:lpstr>
      <vt:lpstr>D_Ch-2-1</vt:lpstr>
      <vt:lpstr>D_Ch2-2</vt:lpstr>
      <vt:lpstr>G_Ch2-2</vt:lpstr>
      <vt:lpstr>D_Ch2-2_det-BMO</vt:lpstr>
      <vt:lpstr>D_Ch-3</vt:lpstr>
      <vt:lpstr>D_Ch4-1</vt:lpstr>
      <vt:lpstr>D_Ch4-2</vt:lpstr>
      <vt:lpstr>D_Ch4-3</vt:lpstr>
      <vt:lpstr>D_Ch-5-1</vt:lpstr>
      <vt:lpstr>D_Ch5-2</vt:lpstr>
      <vt:lpstr>D_ch5-3</vt:lpstr>
      <vt:lpstr>D_Ch6-1</vt:lpstr>
      <vt:lpstr>D_Ch6-2</vt:lpstr>
      <vt:lpstr>D_Ch6-3</vt:lpstr>
      <vt:lpstr>D_Ch7-1</vt:lpstr>
      <vt:lpstr>D_Annexe</vt:lpstr>
      <vt:lpstr>Page de Garde</vt:lpstr>
      <vt:lpstr>Sommaire</vt:lpstr>
      <vt:lpstr>Dynamique de l'emploi</vt:lpstr>
      <vt:lpstr>Marché du travail</vt:lpstr>
      <vt:lpstr>Population active</vt:lpstr>
      <vt:lpstr>Entreprises</vt:lpstr>
      <vt:lpstr>Richesse et échanges</vt:lpstr>
      <vt:lpstr>E.S.R.I.</vt:lpstr>
      <vt:lpstr>Tourisme</vt:lpstr>
      <vt:lpstr>Annexe</vt:lpstr>
      <vt:lpstr>Glossaire</vt:lpstr>
      <vt:lpstr>Annexe!Zone_d_impression</vt:lpstr>
      <vt:lpstr>'Dynamique de l''emploi'!Zone_d_impression</vt:lpstr>
      <vt:lpstr>'Emploi-old'!Zone_d_impression</vt:lpstr>
      <vt:lpstr>Glossaire!Zone_d_impression</vt:lpstr>
      <vt:lpstr>Glossaire_old!Zone_d_impression</vt:lpstr>
      <vt:lpstr>'Marché du travail'!Zone_d_impression</vt:lpstr>
      <vt:lpstr>'Page de Garde'!Zone_d_impression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DELAGE</dc:creator>
  <cp:lastModifiedBy>Anne DELAGE</cp:lastModifiedBy>
  <cp:lastPrinted>2018-05-04T09:34:48Z</cp:lastPrinted>
  <dcterms:created xsi:type="dcterms:W3CDTF">2016-01-07T09:17:18Z</dcterms:created>
  <dcterms:modified xsi:type="dcterms:W3CDTF">2018-05-04T10:20:58Z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5c6018e628fe440e87247b6ae8569f51</vt:lpwstr>
  </property>
</Properties>
</file>